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AP Rate Studies\CAP RATE STUDY 2026\2026 CAP Rate Study - All Industries - Worksheets\publish to website\"/>
    </mc:Choice>
  </mc:AlternateContent>
  <xr:revisionPtr revIDLastSave="0" documentId="13_ncr:1_{77E4EB10-7D19-4BF2-9C0C-1756AADDE59F}" xr6:coauthVersionLast="47" xr6:coauthVersionMax="47" xr10:uidLastSave="{00000000-0000-0000-0000-000000000000}"/>
  <bookViews>
    <workbookView xWindow="28680" yWindow="-45" windowWidth="29040" windowHeight="15720" tabRatio="772" firstSheet="5" activeTab="13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Earnings" sheetId="27" r:id="rId8"/>
    <sheet name="Dividends " sheetId="17" r:id="rId9"/>
    <sheet name="Debt" sheetId="8" r:id="rId10"/>
    <sheet name="Direct GCF" sheetId="5" r:id="rId11"/>
    <sheet name="Direct NOPAT" sheetId="12" r:id="rId12"/>
    <sheet name="CAPM" sheetId="35" r:id="rId13"/>
    <sheet name="Growth &amp; Inflation Rates" sheetId="40" r:id="rId14"/>
    <sheet name="Indicated Yield Equity Rate " sheetId="36" r:id="rId15"/>
    <sheet name="Single Stage Div Growth Model" sheetId="19" r:id="rId16"/>
    <sheet name="Two-Stage Dividend Growth Model" sheetId="20" r:id="rId17"/>
    <sheet name="Multiples" sheetId="31" r:id="rId18"/>
    <sheet name="Info" sheetId="9" r:id="rId19"/>
  </sheets>
  <definedNames>
    <definedName name="_xlnm.Print_Area" localSheetId="6">'Beta for CAPM'!$A$1:$H$37</definedName>
    <definedName name="_xlnm.Print_Area" localSheetId="12">CAPM!$A$1:$H$85</definedName>
    <definedName name="_xlnm.Print_Area" localSheetId="0">'Cover Sheet'!$A$1:$I$37</definedName>
    <definedName name="_xlnm.Print_Area" localSheetId="9">Debt!$A$1:$M$64</definedName>
    <definedName name="_xlnm.Print_Area" localSheetId="2">'Direct CapRates'!$A$1:$H$66</definedName>
    <definedName name="_xlnm.Print_Area" localSheetId="10">'Direct GCF'!$A$1:$N$34</definedName>
    <definedName name="_xlnm.Print_Area" localSheetId="11">'Direct NOPAT'!$A$1:$N$60</definedName>
    <definedName name="_xlnm.Print_Area" localSheetId="8">'Dividends '!$A$1:$K$31</definedName>
    <definedName name="_xlnm.Print_Area" localSheetId="7">Earnings!$A$1:$K$31</definedName>
    <definedName name="_xlnm.Print_Area" localSheetId="13">'Growth &amp; Inflation Rates'!$A$1:$I$108</definedName>
    <definedName name="_xlnm.Print_Area" localSheetId="14">'Indicated Yield Equity Rate '!$A$1:$F$61</definedName>
    <definedName name="_xlnm.Print_Area" localSheetId="5">'Maintenance CapEx'!$A$1:$L$77</definedName>
    <definedName name="_xlnm.Print_Area" localSheetId="4">'Market to Book Ratios'!$A$1:$G$60</definedName>
    <definedName name="_xlnm.Print_Area" localSheetId="17">Multiples!$A$1:$I$38</definedName>
    <definedName name="_xlnm.Print_Area" localSheetId="3">'S&amp;D'!$A$1:$L$90</definedName>
    <definedName name="_xlnm.Print_Area" localSheetId="15">'Single Stage Div Growth Model'!$A$1:$K$45</definedName>
    <definedName name="_xlnm.Print_Area" localSheetId="16">'Two-Stage Dividend Growth Model'!$A$1:$I$43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7" i="20" l="1"/>
  <c r="H27" i="20"/>
  <c r="J23" i="19"/>
  <c r="H39" i="3"/>
  <c r="H38" i="3"/>
  <c r="D40" i="3"/>
  <c r="D44" i="3"/>
  <c r="I15" i="8"/>
  <c r="I17" i="8"/>
  <c r="I18" i="8"/>
  <c r="I19" i="8"/>
  <c r="I20" i="8"/>
  <c r="I21" i="8"/>
  <c r="D26" i="11"/>
  <c r="D25" i="11"/>
  <c r="D23" i="11"/>
  <c r="D22" i="11"/>
  <c r="D20" i="11"/>
  <c r="E26" i="11"/>
  <c r="E23" i="11"/>
  <c r="E22" i="11"/>
  <c r="E20" i="11"/>
  <c r="G39" i="3"/>
  <c r="F39" i="3"/>
  <c r="J26" i="3"/>
  <c r="H44" i="3"/>
  <c r="J28" i="3" l="1"/>
  <c r="H43" i="3"/>
  <c r="J27" i="3"/>
  <c r="H27" i="3"/>
  <c r="H42" i="3"/>
  <c r="F42" i="3"/>
  <c r="H41" i="3"/>
  <c r="J25" i="3"/>
  <c r="H40" i="3"/>
  <c r="J24" i="3"/>
  <c r="J23" i="3" l="1"/>
  <c r="J22" i="3"/>
  <c r="G24" i="8"/>
  <c r="G23" i="8"/>
  <c r="K17" i="17"/>
  <c r="M32" i="5" l="1"/>
  <c r="D56" i="10" s="1"/>
  <c r="L32" i="5"/>
  <c r="F22" i="20"/>
  <c r="F23" i="20"/>
  <c r="F24" i="20"/>
  <c r="F25" i="20"/>
  <c r="F26" i="20"/>
  <c r="F27" i="20"/>
  <c r="F21" i="20"/>
  <c r="E47" i="12"/>
  <c r="E48" i="12"/>
  <c r="E49" i="12"/>
  <c r="E50" i="12"/>
  <c r="E51" i="12"/>
  <c r="E52" i="12"/>
  <c r="K17" i="12"/>
  <c r="K18" i="12"/>
  <c r="K19" i="12"/>
  <c r="K20" i="12"/>
  <c r="K21" i="12"/>
  <c r="K22" i="12"/>
  <c r="E17" i="12"/>
  <c r="E18" i="12"/>
  <c r="E19" i="12"/>
  <c r="E20" i="12"/>
  <c r="E21" i="12"/>
  <c r="E22" i="12"/>
  <c r="D25" i="10" l="1"/>
  <c r="D58" i="10"/>
  <c r="E46" i="12"/>
  <c r="K16" i="12"/>
  <c r="E16" i="12"/>
  <c r="A7" i="40"/>
  <c r="I16" i="8" l="1"/>
  <c r="J16" i="8" s="1"/>
  <c r="J17" i="8"/>
  <c r="J18" i="8"/>
  <c r="J19" i="8"/>
  <c r="J20" i="8"/>
  <c r="J21" i="8"/>
  <c r="J15" i="8" l="1"/>
  <c r="I24" i="8"/>
  <c r="I23" i="8"/>
  <c r="C26" i="11" l="1"/>
  <c r="C25" i="11"/>
  <c r="C24" i="11"/>
  <c r="C23" i="11"/>
  <c r="C22" i="11"/>
  <c r="C21" i="11"/>
  <c r="C20" i="11"/>
  <c r="F59" i="35"/>
  <c r="F58" i="35"/>
  <c r="F57" i="35"/>
  <c r="F55" i="35"/>
  <c r="F54" i="35"/>
  <c r="F52" i="35"/>
  <c r="F50" i="35"/>
  <c r="F48" i="35"/>
  <c r="F47" i="35"/>
  <c r="F46" i="35"/>
  <c r="F45" i="35"/>
  <c r="F43" i="35"/>
  <c r="F42" i="35"/>
  <c r="E33" i="35"/>
  <c r="E32" i="35"/>
  <c r="E31" i="35"/>
  <c r="E29" i="35"/>
  <c r="E28" i="35"/>
  <c r="E26" i="35"/>
  <c r="E24" i="35"/>
  <c r="E22" i="35"/>
  <c r="E21" i="35"/>
  <c r="E20" i="35"/>
  <c r="E19" i="35"/>
  <c r="E17" i="35"/>
  <c r="E16" i="35"/>
  <c r="E53" i="40"/>
  <c r="D53" i="40"/>
  <c r="F53" i="40" s="1"/>
  <c r="E52" i="40"/>
  <c r="D52" i="40"/>
  <c r="F52" i="40" s="1"/>
  <c r="E51" i="40"/>
  <c r="D51" i="40"/>
  <c r="E50" i="40"/>
  <c r="D50" i="40"/>
  <c r="F49" i="40"/>
  <c r="F47" i="40"/>
  <c r="F46" i="40"/>
  <c r="F45" i="40"/>
  <c r="F44" i="40"/>
  <c r="F43" i="40"/>
  <c r="F42" i="40"/>
  <c r="F41" i="40"/>
  <c r="A15" i="40"/>
  <c r="F51" i="40" l="1"/>
  <c r="F50" i="40"/>
  <c r="E55" i="12"/>
  <c r="E54" i="12"/>
  <c r="K25" i="12"/>
  <c r="K24" i="12"/>
  <c r="E25" i="12"/>
  <c r="E24" i="12"/>
  <c r="J24" i="8"/>
  <c r="J23" i="8"/>
  <c r="G25" i="31"/>
  <c r="G24" i="31"/>
  <c r="E25" i="31"/>
  <c r="E24" i="31"/>
  <c r="H25" i="19"/>
  <c r="G25" i="19"/>
  <c r="H24" i="19"/>
  <c r="G24" i="19"/>
  <c r="J26" i="5"/>
  <c r="J25" i="5"/>
  <c r="D26" i="5"/>
  <c r="D25" i="5"/>
  <c r="I25" i="17" l="1"/>
  <c r="G25" i="17"/>
  <c r="I24" i="17"/>
  <c r="G24" i="17"/>
  <c r="E25" i="17"/>
  <c r="E24" i="17"/>
  <c r="I25" i="27"/>
  <c r="G25" i="27"/>
  <c r="I24" i="27"/>
  <c r="G24" i="27"/>
  <c r="E25" i="27"/>
  <c r="E24" i="27"/>
  <c r="H26" i="14"/>
  <c r="H25" i="14"/>
  <c r="F23" i="3" l="1"/>
  <c r="C43" i="3"/>
  <c r="E44" i="3"/>
  <c r="B46" i="35" l="1"/>
  <c r="E46" i="35" s="1"/>
  <c r="D15" i="10"/>
  <c r="A6" i="35" l="1"/>
  <c r="A48" i="35"/>
  <c r="A47" i="35"/>
  <c r="A45" i="35"/>
  <c r="B59" i="35"/>
  <c r="E59" i="35" s="1"/>
  <c r="B58" i="35"/>
  <c r="E58" i="35" s="1"/>
  <c r="B48" i="35"/>
  <c r="B47" i="35"/>
  <c r="E47" i="35" s="1"/>
  <c r="A6" i="31"/>
  <c r="A6" i="20"/>
  <c r="A6" i="19"/>
  <c r="A6" i="36"/>
  <c r="A6" i="12"/>
  <c r="A6" i="5"/>
  <c r="A6" i="8"/>
  <c r="A6" i="17"/>
  <c r="A6" i="27"/>
  <c r="A8" i="14"/>
  <c r="A8" i="11"/>
  <c r="A9" i="29"/>
  <c r="D16" i="7"/>
  <c r="D48" i="10"/>
  <c r="A16" i="6"/>
  <c r="C16" i="35"/>
  <c r="B57" i="35"/>
  <c r="E57" i="35" s="1"/>
  <c r="B55" i="35"/>
  <c r="E55" i="35" s="1"/>
  <c r="B54" i="35"/>
  <c r="E54" i="35" s="1"/>
  <c r="B52" i="35"/>
  <c r="E52" i="35" s="1"/>
  <c r="B50" i="35"/>
  <c r="E50" i="35" s="1"/>
  <c r="B45" i="35"/>
  <c r="E45" i="35" s="1"/>
  <c r="B43" i="35"/>
  <c r="E43" i="35" s="1"/>
  <c r="B42" i="35"/>
  <c r="E42" i="35" s="1"/>
  <c r="C20" i="35" l="1"/>
  <c r="C21" i="35"/>
  <c r="C22" i="35"/>
  <c r="C29" i="35"/>
  <c r="D29" i="35" s="1"/>
  <c r="E48" i="35"/>
  <c r="C19" i="35"/>
  <c r="C45" i="35" s="1"/>
  <c r="D45" i="35" s="1"/>
  <c r="C42" i="35"/>
  <c r="D42" i="35" s="1"/>
  <c r="C31" i="35"/>
  <c r="C57" i="35" s="1"/>
  <c r="D57" i="35" s="1"/>
  <c r="C28" i="35"/>
  <c r="C54" i="35" s="1"/>
  <c r="D54" i="35" s="1"/>
  <c r="C17" i="35"/>
  <c r="C26" i="35"/>
  <c r="C33" i="35"/>
  <c r="C59" i="35" s="1"/>
  <c r="D59" i="35" s="1"/>
  <c r="G59" i="35" s="1"/>
  <c r="D40" i="36" s="1"/>
  <c r="D16" i="35"/>
  <c r="F16" i="35" s="1"/>
  <c r="C24" i="35"/>
  <c r="C46" i="35" l="1"/>
  <c r="D46" i="35" s="1"/>
  <c r="D20" i="35"/>
  <c r="F20" i="35" s="1"/>
  <c r="D18" i="36" s="1"/>
  <c r="F29" i="35"/>
  <c r="G54" i="35"/>
  <c r="D36" i="36" s="1"/>
  <c r="C43" i="35"/>
  <c r="D43" i="35" s="1"/>
  <c r="C32" i="35"/>
  <c r="G42" i="35"/>
  <c r="D28" i="36" s="1"/>
  <c r="D19" i="35"/>
  <c r="F19" i="35" s="1"/>
  <c r="C55" i="35"/>
  <c r="D55" i="35" s="1"/>
  <c r="G55" i="35" s="1"/>
  <c r="D37" i="36" s="1"/>
  <c r="G57" i="35"/>
  <c r="D38" i="36" s="1"/>
  <c r="D22" i="35"/>
  <c r="F22" i="35" s="1"/>
  <c r="D20" i="36" s="1"/>
  <c r="C48" i="35"/>
  <c r="D48" i="35" s="1"/>
  <c r="G48" i="35" s="1"/>
  <c r="D33" i="36" s="1"/>
  <c r="D28" i="35"/>
  <c r="F28" i="35" s="1"/>
  <c r="D31" i="35"/>
  <c r="F31" i="35" s="1"/>
  <c r="D25" i="36" s="1"/>
  <c r="C47" i="35"/>
  <c r="D47" i="35" s="1"/>
  <c r="G47" i="35" s="1"/>
  <c r="D32" i="36" s="1"/>
  <c r="D21" i="35"/>
  <c r="F21" i="35" s="1"/>
  <c r="D19" i="36" s="1"/>
  <c r="G45" i="35"/>
  <c r="D30" i="36" s="1"/>
  <c r="D17" i="35"/>
  <c r="F17" i="35" s="1"/>
  <c r="C50" i="35"/>
  <c r="D50" i="35" s="1"/>
  <c r="G50" i="35" s="1"/>
  <c r="D34" i="36" s="1"/>
  <c r="D24" i="35"/>
  <c r="F24" i="35" s="1"/>
  <c r="D26" i="35"/>
  <c r="F26" i="35" s="1"/>
  <c r="C52" i="35"/>
  <c r="D52" i="35" s="1"/>
  <c r="G52" i="35" s="1"/>
  <c r="D35" i="36" s="1"/>
  <c r="D33" i="35"/>
  <c r="F33" i="35" s="1"/>
  <c r="D27" i="36" s="1"/>
  <c r="G43" i="35" l="1"/>
  <c r="D29" i="36" s="1"/>
  <c r="G46" i="35"/>
  <c r="D31" i="36" s="1"/>
  <c r="D32" i="35"/>
  <c r="F32" i="35" s="1"/>
  <c r="D26" i="36" s="1"/>
  <c r="C58" i="35"/>
  <c r="D58" i="35" s="1"/>
  <c r="G58" i="35" s="1"/>
  <c r="D39" i="36" s="1"/>
  <c r="D23" i="7"/>
  <c r="D44" i="36"/>
  <c r="D43" i="36"/>
  <c r="D42" i="36"/>
  <c r="D41" i="36"/>
  <c r="D19" i="31" l="1"/>
  <c r="F19" i="31" s="1"/>
  <c r="C19" i="31"/>
  <c r="B19" i="31"/>
  <c r="E24" i="20"/>
  <c r="C24" i="20"/>
  <c r="B24" i="20"/>
  <c r="A24" i="20"/>
  <c r="D20" i="19"/>
  <c r="C20" i="19"/>
  <c r="B20" i="19"/>
  <c r="A20" i="19"/>
  <c r="D49" i="12"/>
  <c r="F49" i="12" s="1"/>
  <c r="G49" i="12" s="1"/>
  <c r="C49" i="12"/>
  <c r="A49" i="12"/>
  <c r="D19" i="12"/>
  <c r="J19" i="12" s="1"/>
  <c r="L19" i="12" s="1"/>
  <c r="M19" i="12" s="1"/>
  <c r="C19" i="12"/>
  <c r="A19" i="12"/>
  <c r="C20" i="5"/>
  <c r="I20" i="5" s="1"/>
  <c r="L20" i="5" s="1"/>
  <c r="M20" i="5" s="1"/>
  <c r="B20" i="5"/>
  <c r="H20" i="5" s="1"/>
  <c r="A20" i="5"/>
  <c r="E18" i="8"/>
  <c r="D18" i="8"/>
  <c r="C18" i="8"/>
  <c r="B18" i="8"/>
  <c r="A18" i="8"/>
  <c r="K19" i="27"/>
  <c r="D19" i="27"/>
  <c r="H19" i="27" s="1"/>
  <c r="C19" i="27"/>
  <c r="B19" i="27"/>
  <c r="A19" i="27"/>
  <c r="K19" i="17"/>
  <c r="D19" i="17"/>
  <c r="J19" i="17" s="1"/>
  <c r="C19" i="17"/>
  <c r="B19" i="17"/>
  <c r="A19" i="17"/>
  <c r="C21" i="14"/>
  <c r="B21" i="14"/>
  <c r="A21" i="14"/>
  <c r="B23" i="11"/>
  <c r="A23" i="11"/>
  <c r="E43" i="29"/>
  <c r="D43" i="29"/>
  <c r="C43" i="29"/>
  <c r="B43" i="29"/>
  <c r="A43" i="29"/>
  <c r="C25" i="29"/>
  <c r="B25" i="29"/>
  <c r="A25" i="29"/>
  <c r="E41" i="3"/>
  <c r="D41" i="3"/>
  <c r="E20" i="19" s="1"/>
  <c r="C41" i="3"/>
  <c r="B41" i="3"/>
  <c r="A41" i="3"/>
  <c r="F25" i="3"/>
  <c r="D25" i="29" l="1"/>
  <c r="F25" i="29" s="1"/>
  <c r="F19" i="17"/>
  <c r="J19" i="27"/>
  <c r="F19" i="27"/>
  <c r="E20" i="5"/>
  <c r="F20" i="5" s="1"/>
  <c r="H19" i="17"/>
  <c r="F20" i="19" s="1"/>
  <c r="I20" i="19" s="1"/>
  <c r="H19" i="31"/>
  <c r="I41" i="3"/>
  <c r="J41" i="3" s="1"/>
  <c r="D15" i="36"/>
  <c r="F43" i="29"/>
  <c r="F23" i="11"/>
  <c r="H23" i="11" s="1"/>
  <c r="J23" i="11" s="1"/>
  <c r="F19" i="12"/>
  <c r="G19" i="12" s="1"/>
  <c r="J20" i="19" l="1"/>
  <c r="D24" i="20"/>
  <c r="K41" i="3"/>
  <c r="I23" i="11"/>
  <c r="K23" i="11" s="1"/>
  <c r="L23" i="11" s="1"/>
  <c r="D17" i="36"/>
  <c r="D23" i="36"/>
  <c r="D22" i="36"/>
  <c r="D21" i="36"/>
  <c r="D16" i="36"/>
  <c r="D24" i="36"/>
  <c r="F22" i="11"/>
  <c r="D49" i="36" l="1"/>
  <c r="D46" i="36"/>
  <c r="D47" i="36"/>
  <c r="D48" i="36"/>
  <c r="B23" i="5" l="1"/>
  <c r="B22" i="5"/>
  <c r="B21" i="5"/>
  <c r="B19" i="5"/>
  <c r="B18" i="5"/>
  <c r="B17" i="5"/>
  <c r="A23" i="5"/>
  <c r="A22" i="5"/>
  <c r="A21" i="5"/>
  <c r="A19" i="5"/>
  <c r="A18" i="5"/>
  <c r="A17" i="5"/>
  <c r="F28" i="3"/>
  <c r="F27" i="3"/>
  <c r="F26" i="3"/>
  <c r="F24" i="3"/>
  <c r="F22" i="3"/>
  <c r="G24" i="20" l="1"/>
  <c r="H24" i="20" s="1"/>
  <c r="E40" i="29" l="1"/>
  <c r="E27" i="20"/>
  <c r="E26" i="20"/>
  <c r="E25" i="20"/>
  <c r="E23" i="20"/>
  <c r="G23" i="20" s="1"/>
  <c r="E22" i="20"/>
  <c r="C27" i="20"/>
  <c r="B27" i="20"/>
  <c r="C26" i="20"/>
  <c r="B26" i="20"/>
  <c r="C25" i="20"/>
  <c r="B25" i="20"/>
  <c r="C23" i="20"/>
  <c r="B23" i="20"/>
  <c r="C22" i="20"/>
  <c r="B22" i="20"/>
  <c r="C21" i="20"/>
  <c r="B21" i="20"/>
  <c r="A27" i="20"/>
  <c r="A26" i="20"/>
  <c r="A25" i="20"/>
  <c r="A23" i="20"/>
  <c r="A22" i="20"/>
  <c r="A21" i="20"/>
  <c r="D23" i="19"/>
  <c r="D22" i="19"/>
  <c r="D21" i="19"/>
  <c r="D19" i="19"/>
  <c r="D18" i="19"/>
  <c r="C23" i="19"/>
  <c r="B23" i="19"/>
  <c r="A23" i="19"/>
  <c r="C22" i="19"/>
  <c r="B22" i="19"/>
  <c r="A22" i="19"/>
  <c r="C21" i="19"/>
  <c r="B21" i="19"/>
  <c r="A21" i="19"/>
  <c r="C19" i="19"/>
  <c r="B19" i="19"/>
  <c r="A19" i="19"/>
  <c r="C18" i="19"/>
  <c r="B18" i="19"/>
  <c r="A18" i="19"/>
  <c r="C17" i="19"/>
  <c r="B17" i="19"/>
  <c r="A17" i="19"/>
  <c r="E21" i="20"/>
  <c r="C22" i="12" l="1"/>
  <c r="A22" i="12"/>
  <c r="C21" i="12"/>
  <c r="A21" i="12"/>
  <c r="C20" i="12"/>
  <c r="A20" i="12"/>
  <c r="C18" i="12"/>
  <c r="A18" i="12"/>
  <c r="C17" i="12"/>
  <c r="A17" i="12"/>
  <c r="C16" i="12"/>
  <c r="A16" i="12"/>
  <c r="C52" i="12"/>
  <c r="A52" i="12"/>
  <c r="C51" i="12"/>
  <c r="A51" i="12"/>
  <c r="C50" i="12"/>
  <c r="A50" i="12"/>
  <c r="C48" i="12"/>
  <c r="A48" i="12"/>
  <c r="C47" i="12"/>
  <c r="A47" i="12"/>
  <c r="C46" i="12"/>
  <c r="A46" i="12"/>
  <c r="G26" i="8" l="1"/>
  <c r="G25" i="8"/>
  <c r="D52" i="12" l="1"/>
  <c r="F52" i="12" s="1"/>
  <c r="G52" i="12" s="1"/>
  <c r="D51" i="12"/>
  <c r="F51" i="12" s="1"/>
  <c r="G51" i="12" s="1"/>
  <c r="D50" i="12"/>
  <c r="F50" i="12" s="1"/>
  <c r="G50" i="12" s="1"/>
  <c r="D48" i="12"/>
  <c r="F48" i="12" s="1"/>
  <c r="G48" i="12" s="1"/>
  <c r="D47" i="12"/>
  <c r="D46" i="12"/>
  <c r="F46" i="12" s="1"/>
  <c r="E57" i="12"/>
  <c r="E56" i="12"/>
  <c r="G46" i="12" l="1"/>
  <c r="F47" i="12"/>
  <c r="G47" i="12" s="1"/>
  <c r="F54" i="12" l="1"/>
  <c r="F55" i="12"/>
  <c r="G56" i="12"/>
  <c r="G54" i="12"/>
  <c r="G55" i="12"/>
  <c r="F56" i="12"/>
  <c r="G57" i="12"/>
  <c r="F57" i="12"/>
  <c r="D22" i="31" l="1"/>
  <c r="C22" i="31"/>
  <c r="B22" i="31"/>
  <c r="D21" i="31"/>
  <c r="C21" i="31"/>
  <c r="B21" i="31"/>
  <c r="D20" i="31"/>
  <c r="C20" i="31"/>
  <c r="B20" i="31"/>
  <c r="D18" i="31"/>
  <c r="C18" i="31"/>
  <c r="B18" i="31"/>
  <c r="D17" i="31"/>
  <c r="C17" i="31"/>
  <c r="B17" i="31"/>
  <c r="D16" i="31"/>
  <c r="C16" i="31"/>
  <c r="B16" i="31"/>
  <c r="F16" i="31" l="1"/>
  <c r="H16" i="31"/>
  <c r="F21" i="31"/>
  <c r="H21" i="31"/>
  <c r="F20" i="31"/>
  <c r="H20" i="31"/>
  <c r="F18" i="31"/>
  <c r="H18" i="31"/>
  <c r="F17" i="31"/>
  <c r="H17" i="31"/>
  <c r="F22" i="31"/>
  <c r="H22" i="31"/>
  <c r="H25" i="31" l="1"/>
  <c r="H24" i="31"/>
  <c r="F25" i="31"/>
  <c r="F24" i="31"/>
  <c r="F27" i="31"/>
  <c r="F26" i="31"/>
  <c r="H26" i="31"/>
  <c r="H27" i="31"/>
  <c r="C21" i="8"/>
  <c r="B21" i="8"/>
  <c r="A21" i="8"/>
  <c r="C20" i="8"/>
  <c r="B20" i="8"/>
  <c r="A20" i="8"/>
  <c r="C19" i="8"/>
  <c r="B19" i="8"/>
  <c r="A19" i="8"/>
  <c r="C17" i="8"/>
  <c r="B17" i="8"/>
  <c r="A17" i="8"/>
  <c r="C16" i="8"/>
  <c r="B16" i="8"/>
  <c r="A16" i="8"/>
  <c r="C15" i="8"/>
  <c r="B15" i="8"/>
  <c r="A15" i="8"/>
  <c r="C22" i="27"/>
  <c r="B22" i="27"/>
  <c r="A22" i="27"/>
  <c r="C21" i="27"/>
  <c r="B21" i="27"/>
  <c r="A21" i="27"/>
  <c r="C20" i="27"/>
  <c r="B20" i="27"/>
  <c r="A20" i="27"/>
  <c r="C18" i="27"/>
  <c r="B18" i="27"/>
  <c r="A18" i="27"/>
  <c r="C17" i="27"/>
  <c r="B17" i="27"/>
  <c r="A17" i="27"/>
  <c r="C16" i="27"/>
  <c r="B16" i="27"/>
  <c r="A16" i="27"/>
  <c r="C22" i="17"/>
  <c r="B22" i="17"/>
  <c r="A22" i="17"/>
  <c r="C21" i="17"/>
  <c r="B21" i="17"/>
  <c r="A21" i="17"/>
  <c r="C20" i="17"/>
  <c r="B20" i="17"/>
  <c r="A20" i="17"/>
  <c r="C18" i="17"/>
  <c r="B18" i="17"/>
  <c r="A18" i="17"/>
  <c r="C17" i="17"/>
  <c r="B17" i="17"/>
  <c r="A17" i="17"/>
  <c r="C16" i="17"/>
  <c r="B16" i="17"/>
  <c r="A16" i="17"/>
  <c r="C24" i="14"/>
  <c r="B24" i="14"/>
  <c r="A24" i="14"/>
  <c r="C23" i="14"/>
  <c r="B23" i="14"/>
  <c r="A23" i="14"/>
  <c r="C22" i="14"/>
  <c r="B22" i="14"/>
  <c r="A22" i="14"/>
  <c r="C20" i="14"/>
  <c r="B20" i="14"/>
  <c r="A20" i="14"/>
  <c r="C19" i="14"/>
  <c r="B19" i="14"/>
  <c r="A19" i="14"/>
  <c r="C18" i="14"/>
  <c r="B18" i="14"/>
  <c r="A18" i="14"/>
  <c r="B26" i="11"/>
  <c r="A26" i="11"/>
  <c r="B25" i="11"/>
  <c r="A25" i="11"/>
  <c r="B24" i="11"/>
  <c r="A24" i="11"/>
  <c r="B22" i="11"/>
  <c r="A22" i="11"/>
  <c r="B21" i="11"/>
  <c r="A21" i="11"/>
  <c r="B20" i="11"/>
  <c r="A20" i="11"/>
  <c r="C28" i="29"/>
  <c r="B28" i="29"/>
  <c r="A28" i="29"/>
  <c r="C27" i="29"/>
  <c r="B27" i="29"/>
  <c r="A27" i="29"/>
  <c r="C26" i="29"/>
  <c r="B26" i="29"/>
  <c r="A26" i="29"/>
  <c r="C24" i="29"/>
  <c r="B24" i="29"/>
  <c r="A24" i="29"/>
  <c r="C23" i="29"/>
  <c r="B23" i="29"/>
  <c r="A23" i="29"/>
  <c r="C22" i="29"/>
  <c r="B22" i="29"/>
  <c r="A22" i="29"/>
  <c r="C46" i="29"/>
  <c r="B46" i="29"/>
  <c r="A46" i="29"/>
  <c r="C45" i="29"/>
  <c r="B45" i="29"/>
  <c r="A45" i="29"/>
  <c r="C44" i="29"/>
  <c r="B44" i="29"/>
  <c r="A44" i="29"/>
  <c r="C42" i="29"/>
  <c r="B42" i="29"/>
  <c r="A42" i="29"/>
  <c r="C41" i="29"/>
  <c r="B41" i="29"/>
  <c r="A41" i="29"/>
  <c r="C40" i="29"/>
  <c r="B40" i="29"/>
  <c r="A40" i="29"/>
  <c r="H23" i="5"/>
  <c r="H22" i="5"/>
  <c r="H21" i="5"/>
  <c r="H19" i="5"/>
  <c r="H18" i="5"/>
  <c r="H17" i="5"/>
  <c r="D21" i="8"/>
  <c r="D20" i="8"/>
  <c r="D19" i="8"/>
  <c r="D17" i="8"/>
  <c r="D16" i="8"/>
  <c r="D15" i="8"/>
  <c r="G64" i="10"/>
  <c r="K16" i="17"/>
  <c r="B55" i="29"/>
  <c r="I27" i="27"/>
  <c r="G27" i="27"/>
  <c r="E27" i="27"/>
  <c r="I26" i="27"/>
  <c r="G26" i="27"/>
  <c r="E26" i="27"/>
  <c r="K22" i="27"/>
  <c r="D22" i="27"/>
  <c r="H22" i="27" s="1"/>
  <c r="K21" i="27"/>
  <c r="D21" i="27"/>
  <c r="J21" i="27" s="1"/>
  <c r="K20" i="27"/>
  <c r="D20" i="27"/>
  <c r="H20" i="27" s="1"/>
  <c r="K18" i="27"/>
  <c r="D18" i="27"/>
  <c r="F18" i="27" s="1"/>
  <c r="K17" i="27"/>
  <c r="D17" i="27"/>
  <c r="H17" i="27" s="1"/>
  <c r="K16" i="27"/>
  <c r="D16" i="27"/>
  <c r="J16" i="27" s="1"/>
  <c r="K22" i="17"/>
  <c r="K21" i="17"/>
  <c r="K20" i="17"/>
  <c r="K18" i="17"/>
  <c r="K25" i="17" l="1"/>
  <c r="K24" i="17"/>
  <c r="K25" i="27"/>
  <c r="K24" i="27"/>
  <c r="G26" i="20"/>
  <c r="G25" i="20"/>
  <c r="G22" i="20"/>
  <c r="J17" i="27"/>
  <c r="F22" i="27"/>
  <c r="J22" i="27"/>
  <c r="F17" i="27"/>
  <c r="H21" i="27"/>
  <c r="F20" i="27"/>
  <c r="J20" i="27"/>
  <c r="K27" i="27"/>
  <c r="G16" i="40" s="1"/>
  <c r="H18" i="27"/>
  <c r="K26" i="27"/>
  <c r="G15" i="40" s="1"/>
  <c r="F16" i="27"/>
  <c r="J18" i="27"/>
  <c r="F21" i="27"/>
  <c r="H16" i="27"/>
  <c r="K26" i="17"/>
  <c r="F15" i="40" s="1"/>
  <c r="K27" i="17"/>
  <c r="F16" i="40" s="1"/>
  <c r="J25" i="27" l="1"/>
  <c r="J24" i="27"/>
  <c r="H24" i="27"/>
  <c r="H25" i="27"/>
  <c r="F25" i="27"/>
  <c r="F24" i="27"/>
  <c r="J27" i="27"/>
  <c r="J26" i="27"/>
  <c r="F27" i="27"/>
  <c r="F26" i="27"/>
  <c r="H27" i="27"/>
  <c r="H26" i="27"/>
  <c r="I27" i="17" l="1"/>
  <c r="I26" i="17"/>
  <c r="G31" i="10" l="1"/>
  <c r="G21" i="20" l="1"/>
  <c r="H27" i="19"/>
  <c r="G27" i="19"/>
  <c r="H26" i="19"/>
  <c r="G26" i="19"/>
  <c r="D17" i="19"/>
  <c r="G27" i="17"/>
  <c r="G26" i="17"/>
  <c r="D22" i="17"/>
  <c r="J22" i="17" s="1"/>
  <c r="D21" i="17"/>
  <c r="J21" i="17" s="1"/>
  <c r="D20" i="17"/>
  <c r="J20" i="17" s="1"/>
  <c r="D18" i="17"/>
  <c r="J18" i="17" s="1"/>
  <c r="D17" i="17"/>
  <c r="D16" i="17"/>
  <c r="J16" i="17" s="1"/>
  <c r="E27" i="17"/>
  <c r="E26" i="17"/>
  <c r="H28" i="14"/>
  <c r="H27" i="14"/>
  <c r="I26" i="8"/>
  <c r="I25" i="8"/>
  <c r="F26" i="11"/>
  <c r="H26" i="11" s="1"/>
  <c r="F25" i="11"/>
  <c r="H25" i="11" s="1"/>
  <c r="F24" i="11"/>
  <c r="H24" i="11" s="1"/>
  <c r="H22" i="11"/>
  <c r="F21" i="11"/>
  <c r="H21" i="11" s="1"/>
  <c r="F20" i="11"/>
  <c r="H20" i="11" s="1"/>
  <c r="E21" i="8"/>
  <c r="E20" i="8"/>
  <c r="E19" i="8"/>
  <c r="E17" i="8"/>
  <c r="E16" i="8"/>
  <c r="E15" i="8"/>
  <c r="C23" i="5"/>
  <c r="I23" i="5" s="1"/>
  <c r="L23" i="5" s="1"/>
  <c r="C22" i="5"/>
  <c r="I22" i="5" s="1"/>
  <c r="L22" i="5" s="1"/>
  <c r="C21" i="5"/>
  <c r="I21" i="5" s="1"/>
  <c r="L21" i="5" s="1"/>
  <c r="C19" i="5"/>
  <c r="I19" i="5" s="1"/>
  <c r="L19" i="5" s="1"/>
  <c r="C18" i="5"/>
  <c r="I18" i="5" s="1"/>
  <c r="L18" i="5" s="1"/>
  <c r="C17" i="5"/>
  <c r="I17" i="5" s="1"/>
  <c r="L17" i="5" s="1"/>
  <c r="J33" i="12"/>
  <c r="D23" i="10" s="1"/>
  <c r="I33" i="12"/>
  <c r="K27" i="12"/>
  <c r="E27" i="12"/>
  <c r="K26" i="12"/>
  <c r="E26" i="12"/>
  <c r="D22" i="12"/>
  <c r="J22" i="12" s="1"/>
  <c r="D21" i="12"/>
  <c r="D20" i="12"/>
  <c r="F20" i="12" s="1"/>
  <c r="G20" i="12" s="1"/>
  <c r="D18" i="12"/>
  <c r="F18" i="12" s="1"/>
  <c r="G18" i="12" s="1"/>
  <c r="D17" i="12"/>
  <c r="J17" i="12" s="1"/>
  <c r="D16" i="12"/>
  <c r="J16" i="12" s="1"/>
  <c r="J17" i="17" l="1"/>
  <c r="H17" i="17"/>
  <c r="L25" i="5"/>
  <c r="L26" i="5"/>
  <c r="J25" i="17"/>
  <c r="J24" i="17"/>
  <c r="J27" i="17"/>
  <c r="J26" i="17"/>
  <c r="J18" i="12"/>
  <c r="L22" i="12"/>
  <c r="M22" i="12" s="1"/>
  <c r="L16" i="12"/>
  <c r="F17" i="17"/>
  <c r="H20" i="17"/>
  <c r="F20" i="17"/>
  <c r="H22" i="17"/>
  <c r="F22" i="17"/>
  <c r="H18" i="17"/>
  <c r="F18" i="17"/>
  <c r="H16" i="17"/>
  <c r="F16" i="17"/>
  <c r="H21" i="17"/>
  <c r="F21" i="17"/>
  <c r="J20" i="12"/>
  <c r="L17" i="12"/>
  <c r="M17" i="12" s="1"/>
  <c r="J21" i="12"/>
  <c r="F16" i="12"/>
  <c r="F21" i="12"/>
  <c r="G21" i="12" s="1"/>
  <c r="F22" i="12"/>
  <c r="G22" i="12" s="1"/>
  <c r="F17" i="12"/>
  <c r="G17" i="12" s="1"/>
  <c r="G16" i="12" l="1"/>
  <c r="G26" i="12" s="1"/>
  <c r="F25" i="12"/>
  <c r="F24" i="12"/>
  <c r="D21" i="20"/>
  <c r="H21" i="20" s="1"/>
  <c r="H25" i="17"/>
  <c r="H24" i="17"/>
  <c r="F25" i="17"/>
  <c r="F24" i="17"/>
  <c r="F19" i="19"/>
  <c r="D23" i="20"/>
  <c r="H23" i="20" s="1"/>
  <c r="F21" i="19"/>
  <c r="D25" i="20"/>
  <c r="H25" i="20" s="1"/>
  <c r="F22" i="19"/>
  <c r="J22" i="19" s="1"/>
  <c r="D26" i="20"/>
  <c r="H26" i="20" s="1"/>
  <c r="F23" i="19"/>
  <c r="I23" i="19" s="1"/>
  <c r="D27" i="20"/>
  <c r="F18" i="19"/>
  <c r="D22" i="20"/>
  <c r="H22" i="20" s="1"/>
  <c r="L18" i="12"/>
  <c r="M18" i="12" s="1"/>
  <c r="F26" i="17"/>
  <c r="F27" i="17"/>
  <c r="L21" i="12"/>
  <c r="M21" i="12" s="1"/>
  <c r="L20" i="12"/>
  <c r="M20" i="12" s="1"/>
  <c r="F17" i="19"/>
  <c r="H26" i="17"/>
  <c r="H27" i="17"/>
  <c r="F27" i="12"/>
  <c r="F26" i="12"/>
  <c r="M16" i="12"/>
  <c r="I19" i="19" l="1"/>
  <c r="J19" i="19"/>
  <c r="I18" i="19"/>
  <c r="J18" i="19"/>
  <c r="G27" i="12"/>
  <c r="F25" i="19"/>
  <c r="F24" i="19"/>
  <c r="G25" i="12"/>
  <c r="G24" i="12"/>
  <c r="L25" i="12"/>
  <c r="M25" i="12"/>
  <c r="M24" i="12"/>
  <c r="L24" i="12"/>
  <c r="H29" i="20"/>
  <c r="H28" i="20"/>
  <c r="J21" i="19"/>
  <c r="I21" i="19"/>
  <c r="I17" i="19"/>
  <c r="J17" i="19"/>
  <c r="H31" i="20"/>
  <c r="I22" i="19"/>
  <c r="H30" i="20"/>
  <c r="L27" i="12"/>
  <c r="L26" i="12"/>
  <c r="F27" i="19"/>
  <c r="F26" i="19"/>
  <c r="M27" i="12"/>
  <c r="M26" i="12"/>
  <c r="J24" i="19" l="1"/>
  <c r="J25" i="19"/>
  <c r="I25" i="19"/>
  <c r="I24" i="19"/>
  <c r="J27" i="19"/>
  <c r="J26" i="19"/>
  <c r="I27" i="19"/>
  <c r="I26" i="19"/>
  <c r="J28" i="5"/>
  <c r="J27" i="5"/>
  <c r="J26" i="11"/>
  <c r="J25" i="11"/>
  <c r="J24" i="11"/>
  <c r="J22" i="11"/>
  <c r="J21" i="11"/>
  <c r="J20" i="11"/>
  <c r="I26" i="11"/>
  <c r="I25" i="11"/>
  <c r="I24" i="11"/>
  <c r="I22" i="11"/>
  <c r="I21" i="11"/>
  <c r="I20" i="11"/>
  <c r="F56" i="10"/>
  <c r="C58" i="10"/>
  <c r="C56" i="10"/>
  <c r="F58" i="10"/>
  <c r="F25" i="10"/>
  <c r="C25" i="10"/>
  <c r="F23" i="10"/>
  <c r="C23" i="10"/>
  <c r="K22" i="11" l="1"/>
  <c r="L22" i="11" s="1"/>
  <c r="K21" i="11"/>
  <c r="L21" i="11" s="1"/>
  <c r="K20" i="11"/>
  <c r="L20" i="11" s="1"/>
  <c r="K26" i="11"/>
  <c r="L26" i="11" s="1"/>
  <c r="K25" i="11"/>
  <c r="L25" i="11" s="1"/>
  <c r="K24" i="11"/>
  <c r="L24" i="11" s="1"/>
  <c r="G25" i="10"/>
  <c r="C27" i="10"/>
  <c r="C60" i="10"/>
  <c r="G23" i="10"/>
  <c r="G56" i="10"/>
  <c r="G58" i="10"/>
  <c r="E46" i="29"/>
  <c r="E45" i="29"/>
  <c r="E44" i="29"/>
  <c r="E42" i="29"/>
  <c r="E41" i="29"/>
  <c r="L29" i="11" l="1"/>
  <c r="L28" i="11"/>
  <c r="D42" i="29"/>
  <c r="D46" i="29"/>
  <c r="D40" i="29"/>
  <c r="D44" i="29"/>
  <c r="D41" i="29"/>
  <c r="D45" i="29"/>
  <c r="L30" i="11"/>
  <c r="L31" i="11"/>
  <c r="G27" i="10"/>
  <c r="G60" i="10"/>
  <c r="M18" i="5"/>
  <c r="M19" i="5"/>
  <c r="M21" i="5"/>
  <c r="M22" i="5"/>
  <c r="M23" i="5"/>
  <c r="F45" i="29" l="1"/>
  <c r="F44" i="29"/>
  <c r="F46" i="29"/>
  <c r="F41" i="29"/>
  <c r="F40" i="29"/>
  <c r="F42" i="29"/>
  <c r="M17" i="5"/>
  <c r="L27" i="5"/>
  <c r="L28" i="5"/>
  <c r="M25" i="5" l="1"/>
  <c r="M26" i="5"/>
  <c r="F47" i="29"/>
  <c r="D55" i="29" s="1"/>
  <c r="M28" i="5"/>
  <c r="M27" i="5"/>
  <c r="E43" i="3"/>
  <c r="E17" i="5" l="1"/>
  <c r="E40" i="3" l="1"/>
  <c r="A44" i="3" l="1"/>
  <c r="A43" i="3"/>
  <c r="A42" i="3"/>
  <c r="A40" i="3"/>
  <c r="A39" i="3"/>
  <c r="D43" i="3"/>
  <c r="I43" i="3" s="1"/>
  <c r="K43" i="3" s="1"/>
  <c r="D42" i="3"/>
  <c r="D26" i="29" s="1"/>
  <c r="I40" i="3"/>
  <c r="K40" i="3" s="1"/>
  <c r="D39" i="3"/>
  <c r="D28" i="29" l="1"/>
  <c r="F28" i="29" s="1"/>
  <c r="E23" i="19"/>
  <c r="D24" i="29"/>
  <c r="F24" i="29" s="1"/>
  <c r="E19" i="19"/>
  <c r="F26" i="29"/>
  <c r="E21" i="19"/>
  <c r="D27" i="29"/>
  <c r="F27" i="29" s="1"/>
  <c r="E22" i="19"/>
  <c r="D23" i="29"/>
  <c r="F23" i="29" s="1"/>
  <c r="E18" i="19"/>
  <c r="C23" i="7" l="1"/>
  <c r="C54" i="29" s="1"/>
  <c r="C25" i="7"/>
  <c r="C55" i="29" s="1"/>
  <c r="E55" i="29" s="1"/>
  <c r="D25" i="7" l="1"/>
  <c r="F25" i="7" s="1"/>
  <c r="J25" i="8" l="1"/>
  <c r="J26" i="8" l="1"/>
  <c r="E42" i="3" l="1"/>
  <c r="D38" i="3"/>
  <c r="D22" i="29" l="1"/>
  <c r="F22" i="29" s="1"/>
  <c r="F29" i="29" s="1"/>
  <c r="D54" i="29" s="1"/>
  <c r="E54" i="29" s="1"/>
  <c r="E56" i="29" s="1"/>
  <c r="I42" i="3"/>
  <c r="K42" i="3" s="1"/>
  <c r="I44" i="3"/>
  <c r="K44" i="3" s="1"/>
  <c r="E17" i="19"/>
  <c r="J43" i="3"/>
  <c r="J44" i="3" l="1"/>
  <c r="J42" i="3"/>
  <c r="D28" i="5" l="1"/>
  <c r="D27" i="5"/>
  <c r="E39" i="3" l="1"/>
  <c r="E38" i="3"/>
  <c r="I38" i="3" s="1"/>
  <c r="K38" i="3" l="1"/>
  <c r="J38" i="3"/>
  <c r="I39" i="3"/>
  <c r="J39" i="3" s="1"/>
  <c r="J40" i="3"/>
  <c r="K39" i="3" l="1"/>
  <c r="K48" i="3" s="1"/>
  <c r="J47" i="3"/>
  <c r="B44" i="3" l="1"/>
  <c r="B43" i="3"/>
  <c r="B42" i="3"/>
  <c r="B40" i="3"/>
  <c r="B39" i="3"/>
  <c r="C44" i="3"/>
  <c r="C42" i="3"/>
  <c r="C40" i="3"/>
  <c r="C39" i="3"/>
  <c r="C38" i="3"/>
  <c r="B38" i="3" l="1"/>
  <c r="A38" i="3"/>
  <c r="E23" i="5"/>
  <c r="F23" i="5" s="1"/>
  <c r="E22" i="5"/>
  <c r="F22" i="5" s="1"/>
  <c r="E21" i="5"/>
  <c r="F21" i="5" s="1"/>
  <c r="E19" i="5"/>
  <c r="F19" i="5" s="1"/>
  <c r="E18" i="5"/>
  <c r="F18" i="5" l="1"/>
  <c r="E25" i="5"/>
  <c r="E26" i="5"/>
  <c r="E27" i="5"/>
  <c r="K47" i="3"/>
  <c r="E28" i="5"/>
  <c r="J48" i="3"/>
  <c r="F17" i="5"/>
  <c r="F27" i="5" l="1"/>
  <c r="F26" i="5"/>
  <c r="F25" i="5"/>
  <c r="F23" i="7"/>
  <c r="G23" i="7" s="1"/>
  <c r="F28" i="5"/>
  <c r="C27" i="7"/>
  <c r="G25" i="7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rev4175</author>
    <author>Moss, Brittney (DOR)</author>
    <author>rev4279</author>
    <author>rev3569</author>
    <author>Baker, Mike A (DOR)</author>
  </authors>
  <commentList>
    <comment ref="G22" authorId="0" shapeId="0" xr:uid="{86945B7C-C99A-4A15-9E8C-A6FE139EE70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2" authorId="1" shapeId="0" xr:uid="{C94DBD6A-FF65-4291-9EAE-7A9646656CF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124 of pdf</t>
        </r>
      </text>
    </comment>
    <comment ref="J22" authorId="1" shapeId="0" xr:uid="{6361CB58-4EB6-4FED-8EDD-3F14BE1F6CD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124 of pdf</t>
        </r>
      </text>
    </comment>
    <comment ref="G23" authorId="0" shapeId="0" xr:uid="{7BC3FCB5-E648-46FC-BF4F-2B5C8C11536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3" authorId="0" shapeId="0" xr:uid="{6EE3B430-1494-446C-8A48-4E6AC7EFABB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71 of pdf</t>
        </r>
      </text>
    </comment>
    <comment ref="I23" authorId="0" shapeId="0" xr:uid="{A285AB64-DF6A-4843-AF7F-3AB95C3EDB7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71 of pdf</t>
        </r>
      </text>
    </comment>
    <comment ref="J23" authorId="0" shapeId="0" xr:uid="{E942E922-B974-43AB-9F92-D98BB12007F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71 of pdf</t>
        </r>
      </text>
    </comment>
    <comment ref="H24" authorId="0" shapeId="0" xr:uid="{449DBD42-3406-40E2-A939-DAB080633D04}">
      <text>
        <r>
          <rPr>
            <b/>
            <sz val="9"/>
            <color indexed="81"/>
            <rFont val="Tahoma"/>
            <family val="2"/>
          </rPr>
          <t>rev4175: 10k page 93 of pdf</t>
        </r>
      </text>
    </comment>
    <comment ref="J24" authorId="0" shapeId="0" xr:uid="{697A5228-85EB-49BB-97F2-98B9A0E5AA2E}">
      <text>
        <r>
          <rPr>
            <b/>
            <sz val="9"/>
            <color indexed="81"/>
            <rFont val="Tahoma"/>
            <family val="2"/>
          </rPr>
          <t>rev4175: 10k page 93 of pdf</t>
        </r>
      </text>
    </comment>
    <comment ref="G25" authorId="0" shapeId="0" xr:uid="{A81A537A-ADB6-43B0-BDF3-195BAF92178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5" authorId="0" shapeId="0" xr:uid="{4E76A1E7-F9C6-4D82-A6BC-903B571D60E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65 of pdf</t>
        </r>
      </text>
    </comment>
    <comment ref="J25" authorId="0" shapeId="0" xr:uid="{58333CD8-9A89-4993-BA07-151E421786B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65 of pdf</t>
        </r>
      </text>
    </comment>
    <comment ref="G26" authorId="0" shapeId="0" xr:uid="{14A73217-8FE2-409C-AC8B-FCD4C0D3650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6" authorId="0" shapeId="0" xr:uid="{146C3EB2-6788-4E87-B47D-DCCC09D8D3C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88 of pdf</t>
        </r>
      </text>
    </comment>
    <comment ref="I26" authorId="0" shapeId="0" xr:uid="{C90F2EAE-21D4-43AB-8C8F-468961715B1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88 of pdf</t>
        </r>
      </text>
    </comment>
    <comment ref="J26" authorId="0" shapeId="0" xr:uid="{58B685DE-B77D-4DE8-8397-073DA419738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88 of pdf</t>
        </r>
      </text>
    </comment>
    <comment ref="G27" authorId="0" shapeId="0" xr:uid="{6A7C43C8-C8DF-49A6-812B-B749F6DEBB7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7" authorId="0" shapeId="0" xr:uid="{B519916D-1E65-4158-9265-60187032046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127 of pdf</t>
        </r>
      </text>
    </comment>
    <comment ref="J27" authorId="0" shapeId="0" xr:uid="{6974CF23-0565-4493-B117-D836B42ED3A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127 of pdf</t>
        </r>
      </text>
    </comment>
    <comment ref="G28" authorId="0" shapeId="0" xr:uid="{C78904E6-6611-4AC1-B119-CA5D82D78A1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12/29 Close</t>
        </r>
      </text>
    </comment>
    <comment ref="H28" authorId="0" shapeId="0" xr:uid="{93E5F729-646C-47AE-91D2-EB1F75423EF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89 of pdf</t>
        </r>
      </text>
    </comment>
    <comment ref="I28" authorId="2" shapeId="0" xr:uid="{E29AAE01-813D-40E1-B118-6EAB9B3605EC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89 of pdf</t>
        </r>
      </text>
    </comment>
    <comment ref="J28" authorId="0" shapeId="0" xr:uid="{0E422ACC-E88A-4FA6-91BA-06C4C341488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88 of pdf</t>
        </r>
      </text>
    </comment>
    <comment ref="F34" authorId="3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G34" authorId="3" shapeId="0" xr:uid="{83A88F76-25A8-49A4-A435-A96383B012AB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38" authorId="2" shapeId="0" xr:uid="{A0A58B6A-8069-4BD2-8DC1-030FEB278CF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166 of pdf NOTE 15 LEASES</t>
        </r>
      </text>
    </comment>
    <comment ref="G38" authorId="2" shapeId="0" xr:uid="{630E6E88-2B36-4AD0-8BED-3611230A62C2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166 of pdf NOTE 15 LEASES</t>
        </r>
      </text>
    </comment>
    <comment ref="H38" authorId="2" shapeId="0" xr:uid="{86754C47-3101-4131-9C0B-5C087B715AAC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151 of pdf NOTE 5</t>
        </r>
      </text>
    </comment>
    <comment ref="F39" authorId="2" shapeId="0" xr:uid="{ED086EBB-24EA-4049-BBB0-39822157116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125 of pdf  NOTE 15</t>
        </r>
      </text>
    </comment>
    <comment ref="G39" authorId="2" shapeId="0" xr:uid="{86F53720-EFCA-426D-95CC-ABD6524F61B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125 of pdf  NOTE 15</t>
        </r>
      </text>
    </comment>
    <comment ref="H39" authorId="2" shapeId="0" xr:uid="{C1669452-0A15-4114-AD6A-D24789240153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104 of pdf </t>
        </r>
      </text>
    </comment>
    <comment ref="F40" authorId="4" shapeId="0" xr:uid="{02834377-A790-48FC-985E-2DB7BC1573AD}">
      <text>
        <r>
          <rPr>
            <sz val="9"/>
            <color indexed="81"/>
            <rFont val="Tahoma"/>
            <family val="2"/>
          </rPr>
          <t xml:space="preserve">10k page 120 of pdf
</t>
        </r>
      </text>
    </comment>
    <comment ref="H40" authorId="2" shapeId="0" xr:uid="{0544FDE7-EF68-44F4-82C3-83A4E834BD2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146 of pdf</t>
        </r>
      </text>
    </comment>
    <comment ref="F41" authorId="2" shapeId="0" xr:uid="{0314664D-C973-40D1-BBA6-98709FD2BC4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P99 of pdf</t>
        </r>
      </text>
    </comment>
    <comment ref="H41" authorId="2" shapeId="0" xr:uid="{337C0189-CC0F-401F-A87D-77C1F4E7A2B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92 of pdf</t>
        </r>
      </text>
    </comment>
    <comment ref="F42" authorId="0" shapeId="0" xr:uid="{9B5F60B7-C951-491D-BDDC-1774D83E7DF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88 of pdf</t>
        </r>
      </text>
    </comment>
    <comment ref="H42" authorId="2" shapeId="0" xr:uid="{13B12C03-719A-489A-B726-E02CF126BC53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>10k page 108 of pdf</t>
        </r>
      </text>
    </comment>
    <comment ref="F43" authorId="2" shapeId="0" xr:uid="{20983348-3A1E-4A5E-90C4-D9D658FA652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239 of pdf</t>
        </r>
      </text>
    </comment>
    <comment ref="G43" authorId="2" shapeId="0" xr:uid="{3FD3704C-239D-45D5-9B1B-26B606FD537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239 of pdf</t>
        </r>
      </text>
    </comment>
    <comment ref="H43" authorId="2" shapeId="0" xr:uid="{61DF26D8-90BD-4252-B162-E7FA8FC57176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290 of pdf NOTE 13</t>
        </r>
      </text>
    </comment>
    <comment ref="F44" authorId="2" shapeId="0" xr:uid="{FF9C5368-C3D3-46D6-A34C-50548D9BEEF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130 of pdf</t>
        </r>
      </text>
    </comment>
    <comment ref="G44" authorId="2" shapeId="0" xr:uid="{01CC6693-FDA0-4679-B17B-DA6C8F026BDB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130 of pdf NOTE 13</t>
        </r>
      </text>
    </comment>
    <comment ref="H44" authorId="2" shapeId="0" xr:uid="{F46C00DE-DAB2-4A34-B1CF-36CF020AC553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139 of pdf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Baker, Mike A (DOR)</author>
    <author>rev4279</author>
  </authors>
  <commentList>
    <comment ref="E22" authorId="0" shapeId="0" xr:uid="{4FEA1386-2744-4761-93C5-D8F44E476027}">
      <text>
        <r>
          <rPr>
            <sz val="9"/>
            <color indexed="81"/>
            <rFont val="Tahoma"/>
            <family val="2"/>
          </rPr>
          <t>10K PG 124 of pdf
TAKING NONCONTROLLING INTEREST OUT</t>
        </r>
      </text>
    </comment>
    <comment ref="E23" authorId="1" shapeId="0" xr:uid="{0D46C705-9BAF-489F-B27F-7819516472F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79 of pdf</t>
        </r>
      </text>
    </comment>
    <comment ref="E24" authorId="1" shapeId="0" xr:uid="{137A35B5-8DCB-446E-952F-0AC8DB7BDA5C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97 of pdf
</t>
        </r>
      </text>
    </comment>
    <comment ref="E25" authorId="1" shapeId="0" xr:uid="{8842821F-9993-4239-9871-479BC0EC73A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65 of pdf</t>
        </r>
      </text>
    </comment>
    <comment ref="E26" authorId="1" shapeId="0" xr:uid="{74C2F131-D730-4E88-93BD-AE11BE79B371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88 of pdf</t>
        </r>
      </text>
    </comment>
    <comment ref="E27" authorId="1" shapeId="0" xr:uid="{A283857F-A2A5-406B-B7A8-50ADAD1F29D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127
 of pdf</t>
        </r>
      </text>
    </comment>
    <comment ref="E28" authorId="1" shapeId="0" xr:uid="{2D761E34-1E29-477A-B1AE-B04F2A2C98A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89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Baker, Mike A (DOR)</author>
    <author>rev4279</author>
  </authors>
  <commentList>
    <comment ref="D20" authorId="0" shapeId="0" xr:uid="{F1710017-BD7D-49A8-98D5-3831B0BD4E4E}">
      <text>
        <r>
          <rPr>
            <sz val="9"/>
            <color indexed="81"/>
            <rFont val="Tahoma"/>
            <family val="2"/>
          </rPr>
          <t>10K PG 124 of pdf</t>
        </r>
      </text>
    </comment>
    <comment ref="E20" authorId="0" shapeId="0" xr:uid="{7EA91C58-54B8-4A76-825B-099324800C63}">
      <text>
        <r>
          <rPr>
            <sz val="9"/>
            <color indexed="81"/>
            <rFont val="Tahoma"/>
            <family val="2"/>
          </rPr>
          <t>10K PG 120</t>
        </r>
      </text>
    </comment>
    <comment ref="G20" authorId="0" shapeId="0" xr:uid="{CA005A75-17FC-469D-96D3-C8263E5D8266}">
      <text>
        <r>
          <rPr>
            <sz val="9"/>
            <color indexed="81"/>
            <rFont val="Tahoma"/>
            <family val="2"/>
          </rPr>
          <t>10K PG 144 of pdf</t>
        </r>
      </text>
    </comment>
    <comment ref="D21" authorId="1" shapeId="0" xr:uid="{3165D1E0-CCB6-46C3-9196-98651833074E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70 of pdf</t>
        </r>
      </text>
    </comment>
    <comment ref="E21" authorId="1" shapeId="0" xr:uid="{ADD9DC18-FEE5-4867-9F4B-B8E32A52CB3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92 of pdf</t>
        </r>
      </text>
    </comment>
    <comment ref="G21" authorId="1" shapeId="0" xr:uid="{97E18204-78DC-4AD0-952B-BD0310FE3FA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68 of pdf</t>
        </r>
      </text>
    </comment>
    <comment ref="D22" authorId="1" shapeId="0" xr:uid="{9B23810C-6B68-4DAD-8F6F-E0456E3D319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97 of pdf
</t>
        </r>
      </text>
    </comment>
    <comment ref="E22" authorId="1" shapeId="0" xr:uid="{6F13106F-73B9-4C4B-BA52-251171C1088C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96 of pdf
</t>
        </r>
      </text>
    </comment>
    <comment ref="G22" authorId="1" shapeId="0" xr:uid="{D4DD0B3B-0C8A-4EA1-9CD0-95BB70F4F69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95 of pdf
</t>
        </r>
      </text>
    </comment>
    <comment ref="D23" authorId="1" shapeId="0" xr:uid="{7DFB3487-E08D-41E7-B203-0FCF0989A9F2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65 of pdf</t>
        </r>
      </text>
    </comment>
    <comment ref="E23" authorId="1" shapeId="0" xr:uid="{A056F7E5-8951-456E-BAAA-4D7AC020947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63 of pdf</t>
        </r>
      </text>
    </comment>
    <comment ref="G23" authorId="1" shapeId="0" xr:uid="{3BBB92C1-1266-4BDC-9E73-A37583084E8F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63 of pdf</t>
        </r>
      </text>
    </comment>
    <comment ref="D24" authorId="1" shapeId="0" xr:uid="{DC8B10F2-3CD9-42F3-9537-1C086681576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120 of pdf</t>
        </r>
      </text>
    </comment>
    <comment ref="E24" authorId="1" shapeId="0" xr:uid="{7B028477-4429-403B-9B7F-B55EA1B30F1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123 of pdf</t>
        </r>
      </text>
    </comment>
    <comment ref="G24" authorId="1" shapeId="0" xr:uid="{9CFD979F-4022-44A6-91D5-3132F359E651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page 85 of pdf</t>
        </r>
      </text>
    </comment>
    <comment ref="D25" authorId="1" shapeId="0" xr:uid="{A33337EB-06C7-447C-8314-8716D1EF565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126 of pdf</t>
        </r>
      </text>
    </comment>
    <comment ref="E25" authorId="1" shapeId="0" xr:uid="{87BF0EC9-2014-442E-B8B6-07F84E6CC0D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123 of pdf</t>
        </r>
      </text>
    </comment>
    <comment ref="G25" authorId="1" shapeId="0" xr:uid="{15B1A01F-9E9C-43EF-86A1-0406CAC3A9C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122 of pdf</t>
        </r>
      </text>
    </comment>
    <comment ref="D26" authorId="1" shapeId="0" xr:uid="{0C1FCAD6-A524-49C9-8E37-AAA0E9831E7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114 of pdf</t>
        </r>
      </text>
    </comment>
    <comment ref="E26" authorId="1" shapeId="0" xr:uid="{E7EBA295-9657-44D5-8DBF-8D4DA91E81D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111 of pdf</t>
        </r>
      </text>
    </comment>
    <comment ref="G26" authorId="1" shapeId="0" xr:uid="{63ADB497-4128-43A1-8A01-4CBD0B0A988D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Baker, Mike A (DOR)</author>
  </authors>
  <commentList>
    <comment ref="E16" authorId="0" shapeId="0" xr:uid="{CCBA3893-B5E0-458D-A1A8-B4865A96567B}">
      <text>
        <r>
          <rPr>
            <b/>
            <sz val="9"/>
            <color indexed="81"/>
            <rFont val="Tahoma"/>
            <family val="2"/>
          </rPr>
          <t>Baker, Mike A (DOR):</t>
        </r>
        <r>
          <rPr>
            <sz val="9"/>
            <color indexed="81"/>
            <rFont val="Tahoma"/>
            <family val="2"/>
          </rPr>
          <t xml:space="preserve">
d.82 reported by valueline
</t>
        </r>
      </text>
    </comment>
    <comment ref="E22" authorId="0" shapeId="0" xr:uid="{2F05794F-D7AC-491E-9BDF-5527273886C8}">
      <text>
        <r>
          <rPr>
            <b/>
            <sz val="9"/>
            <color indexed="81"/>
            <rFont val="Tahoma"/>
            <family val="2"/>
          </rPr>
          <t>Baker, Mike A (DOR):</t>
        </r>
        <r>
          <rPr>
            <sz val="9"/>
            <color indexed="81"/>
            <rFont val="Tahoma"/>
            <family val="2"/>
          </rPr>
          <t xml:space="preserve">
d.2.90 reported by valueline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<sst xmlns="http://schemas.openxmlformats.org/spreadsheetml/2006/main" count="1504" uniqueCount="514">
  <si>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</si>
  <si>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</si>
  <si>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</si>
  <si>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</si>
  <si>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</si>
  <si>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</si>
  <si>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</si>
  <si>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</si>
  <si>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</si>
  <si>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</si>
  <si>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</si>
  <si>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</si>
  <si>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</si>
  <si>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</si>
  <si>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</si>
  <si>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</si>
  <si>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</si>
  <si>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</si>
  <si>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</si>
  <si>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</si>
  <si>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</si>
  <si>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</si>
  <si>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</si>
  <si>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</si>
  <si>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</si>
  <si>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</si>
  <si>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</si>
  <si>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</si>
  <si>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</si>
  <si>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</si>
  <si>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</si>
  <si>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</si>
  <si>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</si>
  <si>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</si>
  <si>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</si>
  <si>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</si>
  <si>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</si>
  <si>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</si>
  <si>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</si>
  <si>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</si>
  <si>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DEBT</t>
  </si>
  <si>
    <t>TOTAL</t>
  </si>
  <si>
    <t>Industry &gt; Electric Companies</t>
  </si>
  <si>
    <t>ALE</t>
  </si>
  <si>
    <t>LNT</t>
  </si>
  <si>
    <t>CMS</t>
  </si>
  <si>
    <t>AEE</t>
  </si>
  <si>
    <t>AEP</t>
  </si>
  <si>
    <t>CNP</t>
  </si>
  <si>
    <t>A+</t>
  </si>
  <si>
    <t xml:space="preserve">  </t>
  </si>
  <si>
    <t>High</t>
  </si>
  <si>
    <t>Low</t>
  </si>
  <si>
    <t>SO</t>
  </si>
  <si>
    <t>Mergent Bond</t>
  </si>
  <si>
    <t>Rating</t>
  </si>
  <si>
    <t>Debt Rate</t>
  </si>
  <si>
    <t>S&amp;P</t>
  </si>
  <si>
    <t>% LT Debt &amp; Pref Stock</t>
  </si>
  <si>
    <t>Baa1</t>
  </si>
  <si>
    <t>Baa2</t>
  </si>
  <si>
    <t>BBB+</t>
  </si>
  <si>
    <t>BBB</t>
  </si>
  <si>
    <t xml:space="preserve">Guideline companies were selected from Electric (East &amp; Central &amp; West) Value Line Industry groups. 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</si>
  <si>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</si>
  <si>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</si>
  <si>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</si>
  <si>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</si>
  <si>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</si>
  <si>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</si>
  <si>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BBB-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</si>
  <si>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</si>
  <si>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</si>
  <si>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</si>
  <si>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</si>
  <si>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</si>
  <si>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</si>
  <si>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</si>
  <si>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</si>
  <si>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</si>
  <si>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</si>
  <si>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</si>
  <si>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</si>
  <si>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</si>
  <si>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</si>
  <si>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</si>
  <si>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</si>
  <si>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</si>
  <si>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</si>
  <si>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</si>
  <si>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</si>
  <si>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</si>
  <si>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</si>
  <si>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</si>
  <si>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</si>
  <si>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</si>
  <si>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</si>
  <si>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</si>
  <si>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</si>
  <si>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</si>
  <si>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</si>
  <si>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</si>
  <si>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</si>
  <si>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</si>
  <si>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</si>
  <si>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</si>
  <si>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</si>
  <si>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</si>
  <si>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</si>
  <si>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</si>
  <si>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</si>
  <si>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</si>
  <si>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</si>
  <si>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</si>
  <si>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</si>
  <si>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</si>
  <si>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</si>
  <si>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</si>
  <si>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</si>
  <si>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</si>
  <si>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</si>
  <si>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</si>
  <si>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</si>
  <si>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</si>
  <si>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</si>
  <si>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</si>
  <si>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</si>
  <si>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</si>
  <si>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</si>
  <si>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</si>
  <si>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</si>
  <si>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</si>
  <si>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</si>
  <si>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</si>
  <si>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</si>
  <si>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</si>
  <si>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</si>
  <si>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</si>
  <si>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</si>
  <si>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</si>
  <si>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</si>
  <si>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</si>
  <si>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</si>
  <si>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</si>
  <si>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</si>
  <si>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</si>
  <si>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</si>
  <si>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</si>
  <si>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</si>
  <si>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</si>
  <si>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</si>
  <si>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</si>
  <si>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</si>
  <si>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</si>
  <si>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</si>
  <si>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</si>
  <si>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</si>
  <si>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</si>
  <si>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</si>
  <si>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</si>
  <si>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</si>
  <si>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</si>
  <si>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</si>
  <si>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</si>
  <si>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</si>
  <si>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</si>
  <si>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</si>
  <si>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</si>
  <si>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</si>
  <si>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</si>
  <si>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</si>
  <si>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</si>
  <si>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AA-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</si>
  <si>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</si>
  <si>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</si>
  <si>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</si>
  <si>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</si>
  <si>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</si>
  <si>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</si>
  <si>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</si>
  <si>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</si>
  <si>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</si>
  <si>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</si>
  <si>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</si>
  <si>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</si>
  <si>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Earnings Per Share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</si>
  <si>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</si>
  <si>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</si>
  <si>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</si>
  <si>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</si>
  <si>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</si>
  <si>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</si>
  <si>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</si>
  <si>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</si>
  <si>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</si>
  <si>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</si>
  <si>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</si>
  <si>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</si>
  <si>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</si>
  <si>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</si>
  <si>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</si>
  <si>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</si>
  <si>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</si>
  <si>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</si>
  <si>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</si>
  <si>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</si>
  <si>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</si>
  <si>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</si>
  <si>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</si>
  <si>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</si>
  <si>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</si>
  <si>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</si>
  <si>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</si>
  <si>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</si>
  <si>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</si>
  <si>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</si>
  <si>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</si>
  <si>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</si>
  <si>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</si>
  <si>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</si>
  <si>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</si>
  <si>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</si>
  <si>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</si>
  <si>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</si>
  <si>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</si>
  <si>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</si>
  <si>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</si>
  <si>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</si>
  <si>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</si>
  <si>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</si>
  <si>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</si>
  <si>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</si>
  <si>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</si>
  <si>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</si>
  <si>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</si>
  <si>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</si>
  <si>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</si>
  <si>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</si>
  <si>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</si>
  <si>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</si>
  <si>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</si>
  <si>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</si>
  <si>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</si>
  <si>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10K Income Statement</t>
  </si>
  <si>
    <t>10K Balance Sheet</t>
  </si>
  <si>
    <t>Indicated Rate of Equity Selected &gt;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</si>
  <si>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</si>
  <si>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</si>
  <si>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</si>
  <si>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</si>
  <si>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</si>
  <si>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</si>
  <si>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</si>
  <si>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</si>
  <si>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</si>
  <si>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</si>
  <si>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</si>
  <si>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</si>
  <si>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</si>
  <si>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</si>
  <si>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</si>
  <si>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</si>
  <si>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</si>
  <si>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</si>
  <si>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</si>
  <si>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</si>
  <si>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</si>
  <si>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</si>
  <si>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</si>
  <si>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</si>
  <si>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</si>
  <si>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</si>
  <si>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</si>
  <si>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</si>
  <si>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</si>
  <si>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</si>
  <si>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</si>
  <si>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</si>
  <si>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</si>
  <si>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</si>
  <si>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</si>
  <si>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</si>
  <si>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</si>
  <si>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</si>
  <si>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</si>
  <si>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</si>
  <si>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</si>
  <si>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</si>
  <si>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</si>
  <si>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</si>
  <si>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</si>
  <si>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</si>
  <si>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</si>
  <si>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</si>
  <si>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</si>
  <si>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</si>
  <si>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</si>
  <si>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DY = Dividend Yield     See ValueLine</t>
  </si>
  <si>
    <t>G   = Average growth rate</t>
  </si>
  <si>
    <t>G1 = Short term growth estimate</t>
  </si>
  <si>
    <t>g   = Stable Growth - Nominal growth rate</t>
  </si>
  <si>
    <t>AAA</t>
  </si>
  <si>
    <t>AA+</t>
  </si>
  <si>
    <t>AA</t>
  </si>
  <si>
    <t>Obligations rated Aa are judged to be of high quality, with minimal risk.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</si>
  <si>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</si>
  <si>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</si>
  <si>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</si>
  <si>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</si>
  <si>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</si>
  <si>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</si>
  <si>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</si>
  <si>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</si>
  <si>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</si>
  <si>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</si>
  <si>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</si>
  <si>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Return on Shareholders Equity -- Annual net profit divided by year-end shareholders equity, expressed as a percentage.</t>
  </si>
  <si>
    <t>Retained to Common Equity -- Net profit less all common and preferred dividends divided by common equity including intangible assets, expressed as a percentage.  Also known as the plowback ratio.</t>
  </si>
  <si>
    <t>Aaa1</t>
  </si>
  <si>
    <t>AAA+</t>
  </si>
  <si>
    <t>Aaa2</t>
  </si>
  <si>
    <t>Aaa3</t>
  </si>
  <si>
    <t>AAA-</t>
  </si>
  <si>
    <t>Ca1</t>
  </si>
  <si>
    <t>CC+</t>
  </si>
  <si>
    <t>Ca2</t>
  </si>
  <si>
    <t>Ca3</t>
  </si>
  <si>
    <t>CC-</t>
  </si>
  <si>
    <t>GROSS REVENUE &amp; GROSS BOOK (EQUITY) MULTIPLES</t>
  </si>
  <si>
    <t>Gross Revenues</t>
  </si>
  <si>
    <t>Gross Book Value Equity</t>
  </si>
  <si>
    <t>Multiple *</t>
  </si>
  <si>
    <t>* This multiple is applicable to service type companies, or those with few assets.  These companies sell at prices related to their revenues.</t>
  </si>
  <si>
    <t>The higher the return on revenue the higher the price to revenue will be.</t>
  </si>
  <si>
    <t>** The book value, or common equity, per share is total owners' equity minus preferred stock divided by the number of common shares outstanding.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</si>
  <si>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</si>
  <si>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</si>
  <si>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Share</t>
  </si>
  <si>
    <t>NOPAT Earnings</t>
  </si>
  <si>
    <t>P/E Ratio - Long Term Projection NOPAT</t>
  </si>
  <si>
    <t>Dividend Growth = DY + DG</t>
  </si>
  <si>
    <t>Earnings Growth = DY + EG</t>
  </si>
  <si>
    <t>DY = Dividend Yield</t>
  </si>
  <si>
    <t>DG = Dividend Growth</t>
  </si>
  <si>
    <t>EG = Earnings Growth</t>
  </si>
  <si>
    <t>G = Projected Growth (Div. 5 Yr Growth Rate)</t>
  </si>
  <si>
    <t>G = Projected Growth (Earnings Per Share 5 Yr Growth Rate)</t>
  </si>
  <si>
    <t>Per Share **</t>
  </si>
  <si>
    <t>Projected</t>
  </si>
  <si>
    <t>Common Total Equity excludes 'noncontrolling interests' equity value.</t>
  </si>
  <si>
    <t xml:space="preserve">Property, Plant &amp; Equipment includes CWIP, but should exclude intangibles and the associated amortization.  </t>
  </si>
  <si>
    <t xml:space="preserve">http://www.federalreserve.gov/Releases/H15/Current/ </t>
  </si>
  <si>
    <t>AES CORPORATION</t>
  </si>
  <si>
    <t>AES</t>
  </si>
  <si>
    <t>DOMINION ENERGY INC</t>
  </si>
  <si>
    <t>NRG ENERGY</t>
  </si>
  <si>
    <t>NRG</t>
  </si>
  <si>
    <t>SOUTHERN COMPANY</t>
  </si>
  <si>
    <t>VISTRA ENERGY CORPORATION</t>
  </si>
  <si>
    <t>VST</t>
  </si>
  <si>
    <t>Finance Leases ****</t>
  </si>
  <si>
    <t>&amp; Leases</t>
  </si>
  <si>
    <t>**** Market value of operating leases and finance leases for all companies @ FMV</t>
  </si>
  <si>
    <t xml:space="preserve">** Debt includes  LT Debt  and Current portion of LT Debt.  It may include finance leases (if combined) from 10K.  If not combined, enter separately. </t>
  </si>
  <si>
    <t>NEE</t>
  </si>
  <si>
    <t>NEXTERA ENERGY INC</t>
  </si>
  <si>
    <t xml:space="preserve">Risk Free Rate (Rf) </t>
  </si>
  <si>
    <t>Yield Equity Rate - DGM (Dividend Growth) &amp; DGM (Earnings Growth)  -- Gordon Growth</t>
  </si>
  <si>
    <t>NextEra Energy (NEE) - Is a holding company and it owns NextEra Energy Resources (NER) which is the nonregulated power generator entity.</t>
  </si>
  <si>
    <t>Three Stage Ex Ante  Version 1  (1) (2)</t>
  </si>
  <si>
    <t>Three Stage Ex Ante  Version 2   (1) (2)</t>
  </si>
  <si>
    <t>CAPM - Ex Ante, Three Stage - V1</t>
  </si>
  <si>
    <t>CAPM - Ex Ante, Three Stage - V2</t>
  </si>
  <si>
    <t>Empirical CAPM - Ex Ante, Three Stage - V1</t>
  </si>
  <si>
    <t>Empirical CAPM - Ex Ante, Three Stage - V2</t>
  </si>
  <si>
    <t>Mean</t>
  </si>
  <si>
    <t>A market to book ratio over one would be an indication of no obsolescence</t>
  </si>
  <si>
    <t xml:space="preserve">S&amp;P Rating 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</si>
  <si>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</si>
  <si>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</si>
  <si>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</si>
  <si>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Electric Wholesale (non-regulated) Power Generator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</si>
  <si>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</si>
  <si>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</si>
  <si>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</si>
  <si>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</si>
  <si>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</si>
  <si>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</si>
  <si>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 Damodaran 12 Mo Cash Yield</t>
  </si>
  <si>
    <t>CAPM - Ex Ante  Damodaran Net Cash Yield</t>
  </si>
  <si>
    <t>CAPM - Ex Ante  Damodaran NEP</t>
  </si>
  <si>
    <t>CAPM - Ex Post KROLL ERP Historical</t>
  </si>
  <si>
    <t>CAPM - Ex Post KROLL ERP Supply Side</t>
  </si>
  <si>
    <t>CAPM - Ex Ante KROLL ERP Conditional</t>
  </si>
  <si>
    <t>Empirical CAPM - Ex Ante  Damodaran 12 Mo Cash Yield</t>
  </si>
  <si>
    <t>Empirical CAPM - Ex Ante  Damodaran Net Cash Yield</t>
  </si>
  <si>
    <t>Empirical CAPM - Ex Ante  Damodaran NEP</t>
  </si>
  <si>
    <t>Empirical CAPM - Ex Post KROLL ERP Historical</t>
  </si>
  <si>
    <t>Empirical CAPM - Ex Post KROLL ERP Supply Side</t>
  </si>
  <si>
    <t>Empirical CAPM - Ex Ante KROLL ERP Conditional</t>
  </si>
  <si>
    <t>P. Fernandez, T. Garcia de Santos &amp; J.F.Acin  (5)</t>
  </si>
  <si>
    <t>Damodaran Implied ERP Ex Ante   Avg CF Yield Last 10 Yrs (3)</t>
  </si>
  <si>
    <t>CAPM - Ex Ante  Damodaran Avg CF Yield Last 10 Yrs</t>
  </si>
  <si>
    <t>Empirical CAPM - Ex Ante  Damodaran Avg CF Yield Last 10 Yrs</t>
  </si>
  <si>
    <t>Companies considered in the study &gt;</t>
  </si>
  <si>
    <t>AES Corp (AES) - Regulated power producer using renewables wholesale spot market</t>
  </si>
  <si>
    <t>Bloom Energy Corp -  Manufacturer of fuel cells</t>
  </si>
  <si>
    <t>Enersys - Battery producer and power equipment sales.</t>
  </si>
  <si>
    <t>Generac Holdings -  Manufacturer of generators.</t>
  </si>
  <si>
    <t>Green Plains Inc (GPRE) - Biofuel producer</t>
  </si>
  <si>
    <t xml:space="preserve">Northland Power - Electric generating projects 26 total facilities.  Utilizing (60%) wind &amp; solar, gas, hydro, thermal in Canada, Europe, USA.  </t>
  </si>
  <si>
    <t>Ormat Technologies (ORA) - Geothermal power producer</t>
  </si>
  <si>
    <t>Sunpower Corp (SPWR) - Solar power equipment manuf.   Spun off production facilities to Maxeon Solar Technologies in 2020</t>
  </si>
  <si>
    <t>TPI Composites -  Supplier of wind blades</t>
  </si>
  <si>
    <t>Electric - East</t>
  </si>
  <si>
    <t>Power Electric</t>
  </si>
  <si>
    <t xml:space="preserve">Avangrid Inc (AGR) - Regulated power producer.  Has 17% in renewables </t>
  </si>
  <si>
    <t>BMX Technologies - Nuclear energy tech. supplier.  Spun off power generating systems to Babcock&amp; Wilson Enterprises (BWE)</t>
  </si>
  <si>
    <t>Emera Inc (TSE-EMA.TO) - Electric generation, transmission, distribution, gas transmission, &amp; utility services.</t>
  </si>
  <si>
    <t>Enphase Energy (ENPH) - Solar energy product &amp; control equip. supplier</t>
  </si>
  <si>
    <t>First Solar Inc -  Manufacturer of solar modules and equip. for everday use.</t>
  </si>
  <si>
    <t>Fluence Energy (FLNC) -  Manufacturer of energy storage products</t>
  </si>
  <si>
    <t>Power Plug Inc (PLUG) -  Manufacturer of hydrogen fuel cells</t>
  </si>
  <si>
    <t xml:space="preserve">Sunrun Inc (RUN) -  residential solar power equipment manuf.  </t>
  </si>
  <si>
    <t>Vistra Corp (VST) - holding company, with power generation, retail, wholesale, marketing, with nuclear, storage, renewables, traditional energy</t>
  </si>
  <si>
    <t>Exelon Corp (   ) - Traditional gas &amp; coal energy producer  Spun off nonregulated generating systems to Constellation Energy</t>
  </si>
  <si>
    <t>CEG</t>
  </si>
  <si>
    <t>NRG Energy (NRG) - Largest Independent wholesale power producer in the US with a large % in Renewables</t>
  </si>
  <si>
    <t>Companies selected in the study &gt;</t>
  </si>
  <si>
    <t>CONSTELLATION ENERGY GENERATION LLC</t>
  </si>
  <si>
    <t>Constellation Energy Generating (CEG) -  Independent power production operations.  Nuclear energy.  This company was severed from Exelon Corp.</t>
  </si>
  <si>
    <t>Southern Company (SO) - Regulated electric producer.  Markets some power to wholesalers.  26% electric generation from nuclear and renewables</t>
  </si>
  <si>
    <t>Dominion Energy  (D) -  Regulated electric power producer.  Some independent power production operations</t>
  </si>
  <si>
    <t>CS+PS+OL+FL+LTD</t>
  </si>
  <si>
    <t>Finance Leases</t>
  </si>
  <si>
    <t>NOPAT CASH FLOW MULTIPLE &amp; EQUITY RATE (LT 27-29 Yr Projected VL</t>
  </si>
  <si>
    <t>na</t>
  </si>
  <si>
    <t>Corporate                          December Avg</t>
  </si>
  <si>
    <t>Utility                                                December Avg</t>
  </si>
  <si>
    <t>2025 Tax Year</t>
  </si>
  <si>
    <t>YEAR END 12/31/2024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</si>
  <si>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</si>
  <si>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</si>
  <si>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</si>
  <si>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</si>
  <si>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</si>
  <si>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</si>
  <si>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</si>
  <si>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</si>
  <si>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</si>
  <si>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</si>
  <si>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</si>
  <si>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</si>
  <si>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</si>
  <si>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</si>
  <si>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</si>
  <si>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</si>
  <si>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</si>
  <si>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</si>
  <si>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</si>
  <si>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</si>
  <si>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</si>
  <si>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</si>
  <si>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</si>
  <si>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</si>
  <si>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</si>
  <si>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</si>
  <si>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</si>
  <si>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</si>
  <si>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</si>
  <si>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</si>
  <si>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</si>
  <si>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</si>
  <si>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</si>
  <si>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http://pages.stern.nyu.edu/~adamodar/</t>
  </si>
  <si>
    <t>Moody's Bond</t>
  </si>
  <si>
    <t>Moody's Rating</t>
  </si>
  <si>
    <t>DEBT RATE for Direct and Yield Approach</t>
  </si>
  <si>
    <t>2026 CAPITALIZATION RATE STUDY</t>
  </si>
  <si>
    <t>2026 Tax Year</t>
  </si>
  <si>
    <t>Vl Projected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</si>
  <si>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</si>
  <si>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</si>
  <si>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</si>
  <si>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</si>
  <si>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</si>
  <si>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</si>
  <si>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</si>
  <si>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</si>
  <si>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</si>
  <si>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</si>
  <si>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</si>
  <si>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</si>
  <si>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</si>
  <si>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</si>
  <si>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</si>
  <si>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</si>
  <si>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</si>
  <si>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</si>
  <si>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</si>
  <si>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</si>
  <si>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</si>
  <si>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</si>
  <si>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</si>
  <si>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</si>
  <si>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</si>
  <si>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Medium projection value from Dec. 10, 2025 report Table 1</t>
  </si>
  <si>
    <t>Bond</t>
  </si>
  <si>
    <t>B++</t>
  </si>
  <si>
    <t>Estimated 23-25 to 29-31</t>
  </si>
  <si>
    <t>Fernandez, P., Garcia D., &amp; Acin, J. F. (2025). Survey: Market Risk Pre</t>
  </si>
  <si>
    <t>(7) Aswath Damodaran</t>
  </si>
  <si>
    <t>Aswath Damodaran</t>
  </si>
  <si>
    <t xml:space="preserve">Federal Reserve Statistical Release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</si>
</sst>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0.000"/>
    <numFmt numFmtId="168" formatCode="_(* #,##0.000_);_(* \(#,##0.000\);_(* &quot;-&quot;??_);_(@_)"/>
    <numFmt numFmtId="169" formatCode="_(&quot;$&quot;* #,##0.0_);_(&quot;$&quot;* \(#,##0.0\);_(&quot;$&quot;* &quot;-&quot;??_);_(@_)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i/>
      <sz val="11"/>
      <color theme="1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2"/>
      <color rgb="FF000000"/>
      <name val="Microsoft GothicNeo"/>
      <family val="2"/>
      <charset val="129"/>
    </font>
    <font>
      <b/>
      <sz val="9"/>
      <name val="Microsoft GothicNeo"/>
      <family val="2"/>
      <charset val="129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CC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i/>
      <sz val="18"/>
      <color rgb="FFC00000"/>
      <name val="Microsoft GothicNeo"/>
      <family val="2"/>
      <charset val="129"/>
    </font>
    <font>
      <b/>
      <sz val="11"/>
      <color rgb="FF0000CC"/>
      <name val="Microsoft GothicNeo"/>
      <family val="2"/>
      <charset val="129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8"/>
      <name val="Microsoft GothicNeo"/>
      <family val="2"/>
      <charset val="129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b/>
      <i/>
      <sz val="14"/>
      <name val="Microsoft GothicNeo"/>
      <family val="2"/>
      <charset val="129"/>
    </font>
    <font>
      <b/>
      <i/>
      <sz val="12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sz val="10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sz val="11"/>
      <color theme="1"/>
      <name val="Microsoft GothicNeo Light"/>
      <family val="2"/>
      <charset val="129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sz val="8"/>
      <name val="Calibri"/>
      <family val="2"/>
      <scheme val="minor"/>
    </font>
    <font>
      <b/>
      <sz val="12"/>
      <color rgb="FFA20000"/>
      <name val="Microsoft GothicNeo"/>
      <family val="2"/>
      <charset val="129"/>
    </font>
    <font>
      <sz val="12"/>
      <color rgb="FFA2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 applyNumberFormat="0" applyFill="0" applyBorder="0" applyAlignment="0" applyProtection="0"/>
  </cellStyleXfs>
  <cellXfs count="4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2" fillId="0" borderId="0" xfId="0" applyNumberFormat="1" applyFont="1"/>
    <xf numFmtId="167" fontId="13" fillId="2" borderId="0" xfId="0" applyNumberFormat="1" applyFont="1" applyFill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3" fontId="21" fillId="0" borderId="0" xfId="1" applyFont="1" applyAlignment="1">
      <alignment horizontal="right" vertical="center"/>
    </xf>
    <xf numFmtId="43" fontId="21" fillId="0" borderId="0" xfId="1" applyFont="1" applyFill="1" applyAlignment="1">
      <alignment horizontal="right" vertical="center"/>
    </xf>
    <xf numFmtId="43" fontId="20" fillId="0" borderId="0" xfId="1" applyFont="1" applyFill="1" applyAlignment="1">
      <alignment horizontal="right"/>
    </xf>
    <xf numFmtId="43" fontId="20" fillId="0" borderId="0" xfId="1" applyFont="1" applyFill="1" applyAlignment="1">
      <alignment horizontal="center"/>
    </xf>
    <xf numFmtId="43" fontId="20" fillId="0" borderId="0" xfId="1" applyFont="1" applyFill="1" applyAlignment="1">
      <alignment horizontal="center" vertical="center"/>
    </xf>
    <xf numFmtId="43" fontId="20" fillId="0" borderId="0" xfId="1" applyFont="1" applyFill="1" applyBorder="1" applyAlignment="1">
      <alignment horizontal="center" vertical="center"/>
    </xf>
    <xf numFmtId="43" fontId="20" fillId="0" borderId="0" xfId="1" applyFont="1" applyFill="1"/>
    <xf numFmtId="164" fontId="20" fillId="0" borderId="0" xfId="1" applyNumberFormat="1" applyFont="1" applyFill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16" xfId="0" applyFont="1" applyBorder="1"/>
    <xf numFmtId="0" fontId="18" fillId="0" borderId="2" xfId="0" applyFont="1" applyBorder="1"/>
    <xf numFmtId="0" fontId="27" fillId="0" borderId="0" xfId="0" applyFont="1"/>
    <xf numFmtId="0" fontId="23" fillId="0" borderId="0" xfId="0" applyFont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2" fillId="0" borderId="2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20" fillId="0" borderId="0" xfId="0" applyFont="1"/>
    <xf numFmtId="166" fontId="21" fillId="0" borderId="0" xfId="1" applyNumberFormat="1" applyFont="1" applyFill="1" applyAlignment="1">
      <alignment horizontal="center"/>
    </xf>
    <xf numFmtId="166" fontId="21" fillId="0" borderId="0" xfId="1" applyNumberFormat="1" applyFont="1" applyFill="1"/>
    <xf numFmtId="0" fontId="20" fillId="0" borderId="4" xfId="0" applyFont="1" applyBorder="1"/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/>
    </xf>
    <xf numFmtId="10" fontId="20" fillId="0" borderId="0" xfId="2" applyNumberFormat="1" applyFont="1" applyFill="1" applyAlignment="1">
      <alignment horizontal="center" vertical="center"/>
    </xf>
    <xf numFmtId="10" fontId="20" fillId="0" borderId="0" xfId="2" applyNumberFormat="1" applyFont="1" applyFill="1" applyBorder="1" applyAlignment="1">
      <alignment horizontal="center" vertical="center"/>
    </xf>
    <xf numFmtId="10" fontId="21" fillId="0" borderId="0" xfId="2" applyNumberFormat="1" applyFont="1" applyAlignment="1">
      <alignment horizontal="right" vertical="center"/>
    </xf>
    <xf numFmtId="10" fontId="21" fillId="0" borderId="0" xfId="2" applyNumberFormat="1" applyFont="1" applyFill="1" applyAlignment="1">
      <alignment horizontal="center" vertical="center"/>
    </xf>
    <xf numFmtId="10" fontId="21" fillId="0" borderId="0" xfId="2" applyNumberFormat="1" applyFont="1" applyFill="1" applyAlignment="1">
      <alignment horizontal="right"/>
    </xf>
    <xf numFmtId="10" fontId="20" fillId="0" borderId="0" xfId="2" applyNumberFormat="1" applyFont="1" applyFill="1" applyAlignment="1">
      <alignment horizontal="right"/>
    </xf>
    <xf numFmtId="10" fontId="20" fillId="0" borderId="0" xfId="2" applyNumberFormat="1" applyFont="1" applyFill="1" applyAlignment="1">
      <alignment horizontal="center"/>
    </xf>
    <xf numFmtId="10" fontId="20" fillId="0" borderId="0" xfId="2" applyNumberFormat="1" applyFont="1" applyFill="1"/>
    <xf numFmtId="0" fontId="18" fillId="3" borderId="20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2" fontId="37" fillId="0" borderId="0" xfId="0" applyNumberFormat="1" applyFont="1" applyAlignment="1">
      <alignment horizontal="center"/>
    </xf>
    <xf numFmtId="164" fontId="37" fillId="0" borderId="0" xfId="1" applyNumberFormat="1" applyFont="1" applyAlignment="1"/>
    <xf numFmtId="2" fontId="21" fillId="0" borderId="0" xfId="0" applyNumberFormat="1" applyFont="1" applyAlignment="1">
      <alignment horizontal="center"/>
    </xf>
    <xf numFmtId="0" fontId="33" fillId="0" borderId="0" xfId="0" applyFont="1"/>
    <xf numFmtId="43" fontId="23" fillId="0" borderId="0" xfId="1" applyFont="1" applyFill="1"/>
    <xf numFmtId="2" fontId="37" fillId="0" borderId="4" xfId="0" applyNumberFormat="1" applyFont="1" applyBorder="1" applyAlignment="1">
      <alignment horizontal="center"/>
    </xf>
    <xf numFmtId="10" fontId="21" fillId="0" borderId="0" xfId="2" applyNumberFormat="1" applyFont="1" applyFill="1" applyAlignment="1">
      <alignment horizontal="center"/>
    </xf>
    <xf numFmtId="0" fontId="18" fillId="0" borderId="2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2" fontId="20" fillId="0" borderId="0" xfId="0" applyNumberFormat="1" applyFont="1" applyAlignment="1">
      <alignment horizontal="center"/>
    </xf>
    <xf numFmtId="0" fontId="18" fillId="0" borderId="4" xfId="0" applyFont="1" applyBorder="1"/>
    <xf numFmtId="2" fontId="20" fillId="0" borderId="0" xfId="0" applyNumberFormat="1" applyFont="1" applyAlignment="1">
      <alignment horizontal="right"/>
    </xf>
    <xf numFmtId="10" fontId="20" fillId="0" borderId="0" xfId="0" applyNumberFormat="1" applyFont="1"/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17" xfId="0" applyFont="1" applyBorder="1" applyAlignment="1">
      <alignment horizontal="center"/>
    </xf>
    <xf numFmtId="0" fontId="35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10" fontId="20" fillId="0" borderId="0" xfId="2" applyNumberFormat="1" applyFont="1"/>
    <xf numFmtId="10" fontId="20" fillId="0" borderId="0" xfId="1" applyNumberFormat="1" applyFont="1" applyFill="1"/>
    <xf numFmtId="10" fontId="42" fillId="0" borderId="0" xfId="2" applyNumberFormat="1" applyFont="1" applyFill="1" applyAlignment="1">
      <alignment horizontal="center"/>
    </xf>
    <xf numFmtId="164" fontId="20" fillId="0" borderId="0" xfId="1" applyNumberFormat="1" applyFont="1"/>
    <xf numFmtId="0" fontId="18" fillId="0" borderId="0" xfId="0" applyFont="1" applyAlignment="1">
      <alignment horizontal="left"/>
    </xf>
    <xf numFmtId="0" fontId="20" fillId="0" borderId="2" xfId="0" applyFont="1" applyBorder="1"/>
    <xf numFmtId="0" fontId="33" fillId="0" borderId="7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0" xfId="0" applyFont="1" applyAlignment="1">
      <alignment horizontal="center"/>
    </xf>
    <xf numFmtId="15" fontId="33" fillId="0" borderId="10" xfId="0" applyNumberFormat="1" applyFont="1" applyBorder="1" applyAlignment="1">
      <alignment horizontal="center"/>
    </xf>
    <xf numFmtId="15" fontId="33" fillId="0" borderId="0" xfId="0" applyNumberFormat="1" applyFont="1" applyAlignment="1">
      <alignment horizontal="center"/>
    </xf>
    <xf numFmtId="15" fontId="33" fillId="0" borderId="0" xfId="0" quotePrefix="1" applyNumberFormat="1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3" fillId="0" borderId="10" xfId="0" applyFont="1" applyBorder="1"/>
    <xf numFmtId="0" fontId="33" fillId="0" borderId="7" xfId="0" applyFont="1" applyBorder="1"/>
    <xf numFmtId="0" fontId="37" fillId="0" borderId="0" xfId="0" applyFont="1" applyAlignment="1">
      <alignment horizontal="center"/>
    </xf>
    <xf numFmtId="2" fontId="37" fillId="0" borderId="10" xfId="0" applyNumberFormat="1" applyFont="1" applyBorder="1" applyAlignment="1">
      <alignment horizontal="center"/>
    </xf>
    <xf numFmtId="0" fontId="37" fillId="0" borderId="7" xfId="0" applyFont="1" applyBorder="1"/>
    <xf numFmtId="0" fontId="33" fillId="0" borderId="8" xfId="0" applyFont="1" applyBorder="1"/>
    <xf numFmtId="3" fontId="37" fillId="0" borderId="2" xfId="0" applyNumberFormat="1" applyFont="1" applyBorder="1"/>
    <xf numFmtId="0" fontId="36" fillId="0" borderId="0" xfId="0" applyFont="1"/>
    <xf numFmtId="0" fontId="36" fillId="0" borderId="2" xfId="0" applyFont="1" applyBorder="1"/>
    <xf numFmtId="0" fontId="36" fillId="0" borderId="5" xfId="0" applyFont="1" applyBorder="1"/>
    <xf numFmtId="0" fontId="36" fillId="0" borderId="6" xfId="0" applyFont="1" applyBorder="1"/>
    <xf numFmtId="0" fontId="18" fillId="0" borderId="6" xfId="0" applyFont="1" applyBorder="1"/>
    <xf numFmtId="0" fontId="33" fillId="0" borderId="14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164" fontId="37" fillId="0" borderId="0" xfId="1" applyNumberFormat="1" applyFont="1" applyFill="1" applyBorder="1"/>
    <xf numFmtId="0" fontId="33" fillId="0" borderId="0" xfId="0" applyFont="1" applyAlignment="1">
      <alignment horizontal="right"/>
    </xf>
    <xf numFmtId="164" fontId="20" fillId="0" borderId="0" xfId="0" applyNumberFormat="1" applyFont="1"/>
    <xf numFmtId="10" fontId="33" fillId="0" borderId="0" xfId="0" applyNumberFormat="1" applyFont="1" applyAlignment="1">
      <alignment horizontal="right"/>
    </xf>
    <xf numFmtId="10" fontId="33" fillId="0" borderId="0" xfId="2" applyNumberFormat="1" applyFont="1" applyFill="1"/>
    <xf numFmtId="10" fontId="33" fillId="0" borderId="0" xfId="2" applyNumberFormat="1" applyFont="1"/>
    <xf numFmtId="2" fontId="18" fillId="0" borderId="0" xfId="0" applyNumberFormat="1" applyFont="1"/>
    <xf numFmtId="0" fontId="20" fillId="0" borderId="1" xfId="0" applyFont="1" applyBorder="1" applyAlignment="1">
      <alignment horizontal="center"/>
    </xf>
    <xf numFmtId="0" fontId="27" fillId="0" borderId="0" xfId="0" applyFont="1" applyAlignment="1">
      <alignment horizontal="right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165" fontId="20" fillId="0" borderId="0" xfId="3" applyNumberFormat="1" applyFont="1" applyFill="1" applyAlignment="1">
      <alignment horizontal="center"/>
    </xf>
    <xf numFmtId="164" fontId="21" fillId="0" borderId="0" xfId="1" applyNumberFormat="1" applyFont="1" applyFill="1"/>
    <xf numFmtId="10" fontId="21" fillId="0" borderId="0" xfId="2" applyNumberFormat="1" applyFont="1" applyFill="1"/>
    <xf numFmtId="0" fontId="27" fillId="0" borderId="2" xfId="0" applyFont="1" applyBorder="1" applyAlignment="1">
      <alignment horizontal="center"/>
    </xf>
    <xf numFmtId="10" fontId="37" fillId="0" borderId="0" xfId="2" applyNumberFormat="1" applyFont="1" applyFill="1" applyAlignment="1">
      <alignment horizontal="center"/>
    </xf>
    <xf numFmtId="10" fontId="37" fillId="0" borderId="0" xfId="2" applyNumberFormat="1" applyFont="1" applyFill="1"/>
    <xf numFmtId="2" fontId="33" fillId="0" borderId="2" xfId="0" applyNumberFormat="1" applyFont="1" applyBorder="1" applyAlignment="1">
      <alignment horizontal="center"/>
    </xf>
    <xf numFmtId="10" fontId="33" fillId="0" borderId="2" xfId="2" applyNumberFormat="1" applyFont="1" applyBorder="1"/>
    <xf numFmtId="10" fontId="33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  <xf numFmtId="0" fontId="37" fillId="0" borderId="0" xfId="0" applyFont="1"/>
    <xf numFmtId="0" fontId="33" fillId="0" borderId="0" xfId="0" applyFont="1" applyAlignment="1">
      <alignment horizontal="left"/>
    </xf>
    <xf numFmtId="10" fontId="18" fillId="0" borderId="0" xfId="0" applyNumberFormat="1" applyFont="1"/>
    <xf numFmtId="0" fontId="17" fillId="0" borderId="0" xfId="6"/>
    <xf numFmtId="0" fontId="46" fillId="0" borderId="2" xfId="0" applyFont="1" applyBorder="1"/>
    <xf numFmtId="0" fontId="0" fillId="0" borderId="2" xfId="0" applyBorder="1"/>
    <xf numFmtId="0" fontId="27" fillId="0" borderId="2" xfId="0" applyFont="1" applyBorder="1"/>
    <xf numFmtId="0" fontId="18" fillId="0" borderId="5" xfId="0" applyFont="1" applyBorder="1"/>
    <xf numFmtId="0" fontId="18" fillId="0" borderId="12" xfId="0" applyFont="1" applyBorder="1"/>
    <xf numFmtId="0" fontId="20" fillId="0" borderId="8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10" fontId="27" fillId="0" borderId="2" xfId="2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46" fillId="0" borderId="33" xfId="0" applyFont="1" applyBorder="1"/>
    <xf numFmtId="0" fontId="33" fillId="0" borderId="31" xfId="0" applyFont="1" applyBorder="1"/>
    <xf numFmtId="0" fontId="33" fillId="0" borderId="20" xfId="0" applyFont="1" applyBorder="1"/>
    <xf numFmtId="0" fontId="33" fillId="0" borderId="1" xfId="0" applyFont="1" applyBorder="1"/>
    <xf numFmtId="10" fontId="37" fillId="0" borderId="0" xfId="2" applyNumberFormat="1" applyFont="1" applyAlignment="1">
      <alignment horizontal="right" vertical="center"/>
    </xf>
    <xf numFmtId="10" fontId="33" fillId="0" borderId="0" xfId="2" applyNumberFormat="1" applyFont="1" applyFill="1" applyAlignment="1">
      <alignment horizontal="right"/>
    </xf>
    <xf numFmtId="43" fontId="33" fillId="0" borderId="0" xfId="1" applyFont="1" applyFill="1" applyAlignment="1">
      <alignment horizontal="right"/>
    </xf>
    <xf numFmtId="43" fontId="33" fillId="0" borderId="0" xfId="1" applyFont="1" applyFill="1"/>
    <xf numFmtId="0" fontId="33" fillId="0" borderId="0" xfId="0" applyFont="1" applyAlignment="1">
      <alignment horizontal="center" vertical="center"/>
    </xf>
    <xf numFmtId="44" fontId="37" fillId="0" borderId="0" xfId="3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43" fillId="0" borderId="0" xfId="0" applyFont="1"/>
    <xf numFmtId="10" fontId="37" fillId="0" borderId="16" xfId="2" applyNumberFormat="1" applyFont="1" applyFill="1" applyBorder="1"/>
    <xf numFmtId="0" fontId="18" fillId="0" borderId="32" xfId="0" applyFont="1" applyBorder="1"/>
    <xf numFmtId="0" fontId="23" fillId="0" borderId="34" xfId="0" applyFont="1" applyBorder="1" applyAlignment="1">
      <alignment horizontal="right"/>
    </xf>
    <xf numFmtId="0" fontId="22" fillId="0" borderId="32" xfId="0" applyFont="1" applyBorder="1"/>
    <xf numFmtId="0" fontId="22" fillId="0" borderId="34" xfId="0" applyFont="1" applyBorder="1" applyAlignment="1">
      <alignment horizontal="right"/>
    </xf>
    <xf numFmtId="0" fontId="22" fillId="0" borderId="34" xfId="0" applyFont="1" applyBorder="1"/>
    <xf numFmtId="0" fontId="18" fillId="0" borderId="34" xfId="0" applyFont="1" applyBorder="1"/>
    <xf numFmtId="0" fontId="33" fillId="0" borderId="7" xfId="0" applyFont="1" applyBorder="1" applyAlignment="1">
      <alignment horizontal="center" vertical="center"/>
    </xf>
    <xf numFmtId="10" fontId="33" fillId="0" borderId="0" xfId="2" applyNumberFormat="1" applyFont="1" applyBorder="1" applyAlignment="1">
      <alignment horizontal="center" vertical="center"/>
    </xf>
    <xf numFmtId="10" fontId="33" fillId="0" borderId="13" xfId="2" applyNumberFormat="1" applyFont="1" applyBorder="1" applyAlignment="1">
      <alignment horizontal="center" vertical="center"/>
    </xf>
    <xf numFmtId="0" fontId="36" fillId="0" borderId="7" xfId="0" applyFont="1" applyBorder="1"/>
    <xf numFmtId="0" fontId="36" fillId="0" borderId="13" xfId="0" applyFont="1" applyBorder="1"/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right"/>
    </xf>
    <xf numFmtId="2" fontId="33" fillId="0" borderId="16" xfId="0" applyNumberFormat="1" applyFont="1" applyBorder="1" applyAlignment="1">
      <alignment horizontal="center"/>
    </xf>
    <xf numFmtId="43" fontId="33" fillId="0" borderId="0" xfId="1" applyFont="1" applyBorder="1" applyAlignment="1">
      <alignment horizontal="center" vertical="center"/>
    </xf>
    <xf numFmtId="43" fontId="33" fillId="0" borderId="0" xfId="1" applyFont="1" applyBorder="1" applyAlignment="1">
      <alignment vertical="center"/>
    </xf>
    <xf numFmtId="10" fontId="33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3" fillId="0" borderId="0" xfId="2" applyNumberFormat="1" applyFont="1" applyFill="1" applyBorder="1" applyAlignment="1">
      <alignment horizontal="center" vertical="center"/>
    </xf>
    <xf numFmtId="0" fontId="33" fillId="0" borderId="30" xfId="0" applyFont="1" applyBorder="1"/>
    <xf numFmtId="0" fontId="33" fillId="0" borderId="21" xfId="0" applyFont="1" applyBorder="1"/>
    <xf numFmtId="0" fontId="33" fillId="0" borderId="23" xfId="0" applyFont="1" applyBorder="1"/>
    <xf numFmtId="10" fontId="37" fillId="3" borderId="26" xfId="2" applyNumberFormat="1" applyFont="1" applyFill="1" applyBorder="1" applyAlignment="1">
      <alignment horizontal="center"/>
    </xf>
    <xf numFmtId="0" fontId="18" fillId="0" borderId="24" xfId="0" applyFont="1" applyBorder="1"/>
    <xf numFmtId="10" fontId="27" fillId="0" borderId="3" xfId="2" applyNumberFormat="1" applyFont="1" applyBorder="1" applyAlignment="1">
      <alignment horizontal="center" vertical="center"/>
    </xf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/>
    <xf numFmtId="2" fontId="23" fillId="0" borderId="16" xfId="0" applyNumberFormat="1" applyFont="1" applyBorder="1" applyAlignment="1">
      <alignment horizontal="center" vertical="center"/>
    </xf>
    <xf numFmtId="10" fontId="23" fillId="0" borderId="16" xfId="2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right" vertical="center"/>
    </xf>
    <xf numFmtId="0" fontId="29" fillId="0" borderId="17" xfId="0" applyFont="1" applyBorder="1" applyAlignment="1">
      <alignment horizontal="center"/>
    </xf>
    <xf numFmtId="10" fontId="20" fillId="0" borderId="0" xfId="0" applyNumberFormat="1" applyFont="1" applyAlignment="1">
      <alignment horizontal="center"/>
    </xf>
    <xf numFmtId="0" fontId="20" fillId="0" borderId="2" xfId="0" quotePrefix="1" applyFont="1" applyBorder="1" applyAlignment="1">
      <alignment horizontal="center"/>
    </xf>
    <xf numFmtId="0" fontId="6" fillId="0" borderId="0" xfId="0" applyFont="1"/>
    <xf numFmtId="0" fontId="49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50" fillId="0" borderId="0" xfId="0" applyFont="1"/>
    <xf numFmtId="0" fontId="36" fillId="0" borderId="0" xfId="0" applyFont="1" applyAlignment="1">
      <alignment horizontal="right"/>
    </xf>
    <xf numFmtId="0" fontId="36" fillId="0" borderId="2" xfId="0" applyFont="1" applyBorder="1" applyAlignment="1">
      <alignment horizontal="center"/>
    </xf>
    <xf numFmtId="0" fontId="48" fillId="0" borderId="0" xfId="0" applyFont="1"/>
    <xf numFmtId="10" fontId="27" fillId="0" borderId="10" xfId="2" applyNumberFormat="1" applyFont="1" applyFill="1" applyBorder="1" applyAlignment="1">
      <alignment horizontal="center" vertical="center"/>
    </xf>
    <xf numFmtId="168" fontId="37" fillId="0" borderId="16" xfId="1" applyNumberFormat="1" applyFont="1" applyFill="1" applyBorder="1"/>
    <xf numFmtId="15" fontId="33" fillId="0" borderId="24" xfId="0" applyNumberFormat="1" applyFont="1" applyBorder="1" applyAlignment="1">
      <alignment horizontal="center"/>
    </xf>
    <xf numFmtId="15" fontId="33" fillId="0" borderId="12" xfId="0" applyNumberFormat="1" applyFont="1" applyBorder="1" applyAlignment="1">
      <alignment horizontal="center"/>
    </xf>
    <xf numFmtId="15" fontId="33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47" fillId="0" borderId="0" xfId="0" applyFont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1" xfId="0" applyBorder="1"/>
    <xf numFmtId="0" fontId="33" fillId="0" borderId="1" xfId="0" applyFont="1" applyBorder="1" applyAlignment="1">
      <alignment horizontal="center"/>
    </xf>
    <xf numFmtId="10" fontId="37" fillId="0" borderId="1" xfId="2" applyNumberFormat="1" applyFont="1" applyFill="1" applyBorder="1" applyAlignment="1">
      <alignment horizontal="center"/>
    </xf>
    <xf numFmtId="43" fontId="37" fillId="0" borderId="1" xfId="1" applyFont="1" applyFill="1" applyBorder="1" applyAlignment="1">
      <alignment horizontal="center"/>
    </xf>
    <xf numFmtId="43" fontId="37" fillId="0" borderId="0" xfId="1" applyFont="1" applyAlignment="1">
      <alignment horizontal="center"/>
    </xf>
    <xf numFmtId="43" fontId="37" fillId="0" borderId="0" xfId="1" applyFont="1" applyFill="1" applyAlignment="1">
      <alignment horizontal="center"/>
    </xf>
    <xf numFmtId="0" fontId="47" fillId="0" borderId="0" xfId="0" applyFont="1" applyAlignment="1">
      <alignment horizontal="right"/>
    </xf>
    <xf numFmtId="2" fontId="47" fillId="0" borderId="0" xfId="0" applyNumberFormat="1" applyFont="1"/>
    <xf numFmtId="0" fontId="33" fillId="0" borderId="5" xfId="0" applyFont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64" fontId="37" fillId="0" borderId="10" xfId="1" applyNumberFormat="1" applyFont="1" applyFill="1" applyBorder="1" applyAlignment="1">
      <alignment horizontal="center"/>
    </xf>
    <xf numFmtId="164" fontId="37" fillId="0" borderId="3" xfId="1" applyNumberFormat="1" applyFont="1" applyFill="1" applyBorder="1" applyAlignment="1">
      <alignment horizontal="center"/>
    </xf>
    <xf numFmtId="164" fontId="37" fillId="0" borderId="13" xfId="1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0" fontId="37" fillId="0" borderId="0" xfId="2" applyNumberFormat="1" applyFont="1" applyFill="1" applyBorder="1" applyAlignment="1">
      <alignment horizontal="center"/>
    </xf>
    <xf numFmtId="10" fontId="37" fillId="0" borderId="0" xfId="2" applyNumberFormat="1" applyFont="1" applyBorder="1" applyAlignment="1">
      <alignment horizontal="center" vertical="center"/>
    </xf>
    <xf numFmtId="10" fontId="27" fillId="0" borderId="3" xfId="2" applyNumberFormat="1" applyFont="1" applyFill="1" applyBorder="1" applyAlignment="1">
      <alignment horizontal="center" vertical="center"/>
    </xf>
    <xf numFmtId="0" fontId="27" fillId="0" borderId="32" xfId="0" applyFont="1" applyBorder="1"/>
    <xf numFmtId="0" fontId="18" fillId="0" borderId="33" xfId="0" applyFont="1" applyBorder="1"/>
    <xf numFmtId="0" fontId="33" fillId="0" borderId="32" xfId="0" applyFont="1" applyBorder="1"/>
    <xf numFmtId="0" fontId="33" fillId="4" borderId="20" xfId="0" applyFont="1" applyFill="1" applyBorder="1"/>
    <xf numFmtId="0" fontId="37" fillId="3" borderId="20" xfId="0" applyFont="1" applyFill="1" applyBorder="1"/>
    <xf numFmtId="0" fontId="33" fillId="0" borderId="32" xfId="0" applyFont="1" applyBorder="1" applyAlignment="1">
      <alignment horizontal="right"/>
    </xf>
    <xf numFmtId="43" fontId="33" fillId="0" borderId="0" xfId="0" applyNumberFormat="1" applyFont="1"/>
    <xf numFmtId="0" fontId="34" fillId="0" borderId="35" xfId="0" applyFont="1" applyBorder="1" applyAlignment="1">
      <alignment horizontal="center"/>
    </xf>
    <xf numFmtId="0" fontId="34" fillId="0" borderId="36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53" fillId="0" borderId="0" xfId="0" applyFont="1" applyAlignment="1">
      <alignment horizontal="left" vertical="top" wrapText="1"/>
    </xf>
    <xf numFmtId="0" fontId="27" fillId="0" borderId="28" xfId="0" applyFont="1" applyBorder="1" applyAlignment="1">
      <alignment horizontal="center"/>
    </xf>
    <xf numFmtId="0" fontId="36" fillId="3" borderId="26" xfId="0" applyFont="1" applyFill="1" applyBorder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36" fillId="3" borderId="27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center"/>
    </xf>
    <xf numFmtId="0" fontId="18" fillId="3" borderId="29" xfId="0" applyFont="1" applyFill="1" applyBorder="1" applyAlignment="1">
      <alignment horizontal="center"/>
    </xf>
    <xf numFmtId="0" fontId="36" fillId="3" borderId="25" xfId="0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18" fillId="3" borderId="21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164" fontId="21" fillId="0" borderId="0" xfId="1" applyNumberFormat="1" applyFont="1" applyFill="1" applyAlignment="1">
      <alignment horizontal="center"/>
    </xf>
    <xf numFmtId="0" fontId="0" fillId="0" borderId="4" xfId="0" applyBorder="1"/>
    <xf numFmtId="0" fontId="0" fillId="0" borderId="33" xfId="0" applyBorder="1"/>
    <xf numFmtId="0" fontId="20" fillId="0" borderId="1" xfId="0" applyFont="1" applyBorder="1" applyAlignment="1">
      <alignment horizontal="right"/>
    </xf>
    <xf numFmtId="164" fontId="21" fillId="0" borderId="1" xfId="1" applyNumberFormat="1" applyFont="1" applyFill="1" applyBorder="1" applyAlignment="1">
      <alignment horizontal="center"/>
    </xf>
    <xf numFmtId="10" fontId="21" fillId="0" borderId="1" xfId="2" applyNumberFormat="1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43" fontId="37" fillId="0" borderId="0" xfId="1" applyFont="1" applyFill="1" applyAlignment="1">
      <alignment horizontal="right" vertical="center"/>
    </xf>
    <xf numFmtId="44" fontId="21" fillId="0" borderId="0" xfId="3" applyFont="1" applyFill="1" applyAlignment="1">
      <alignment horizontal="center"/>
    </xf>
    <xf numFmtId="10" fontId="21" fillId="0" borderId="0" xfId="2" applyNumberFormat="1" applyFont="1" applyFill="1" applyAlignment="1">
      <alignment horizontal="right" vertical="center"/>
    </xf>
    <xf numFmtId="10" fontId="21" fillId="0" borderId="1" xfId="2" applyNumberFormat="1" applyFont="1" applyFill="1" applyBorder="1" applyAlignment="1">
      <alignment horizontal="right" vertical="center"/>
    </xf>
    <xf numFmtId="43" fontId="23" fillId="0" borderId="16" xfId="1" applyFont="1" applyFill="1" applyBorder="1" applyAlignment="1">
      <alignment horizontal="center" vertical="center"/>
    </xf>
    <xf numFmtId="165" fontId="21" fillId="0" borderId="0" xfId="3" applyNumberFormat="1" applyFont="1" applyFill="1" applyAlignment="1">
      <alignment horizontal="right"/>
    </xf>
    <xf numFmtId="169" fontId="18" fillId="0" borderId="0" xfId="0" applyNumberFormat="1" applyFont="1"/>
    <xf numFmtId="2" fontId="21" fillId="0" borderId="0" xfId="0" applyNumberFormat="1" applyFont="1" applyAlignment="1">
      <alignment horizontal="right" vertical="center"/>
    </xf>
    <xf numFmtId="0" fontId="33" fillId="0" borderId="1" xfId="0" applyFont="1" applyBorder="1" applyAlignment="1">
      <alignment horizontal="right"/>
    </xf>
    <xf numFmtId="10" fontId="33" fillId="0" borderId="1" xfId="2" applyNumberFormat="1" applyFont="1" applyBorder="1"/>
    <xf numFmtId="2" fontId="21" fillId="0" borderId="1" xfId="0" applyNumberFormat="1" applyFont="1" applyBorder="1" applyAlignment="1">
      <alignment horizontal="right" vertical="center"/>
    </xf>
    <xf numFmtId="0" fontId="18" fillId="0" borderId="21" xfId="0" applyFont="1" applyBorder="1"/>
    <xf numFmtId="0" fontId="18" fillId="0" borderId="23" xfId="0" applyFont="1" applyBorder="1"/>
    <xf numFmtId="0" fontId="34" fillId="0" borderId="17" xfId="0" applyFont="1" applyBorder="1" applyAlignment="1">
      <alignment horizontal="center"/>
    </xf>
    <xf numFmtId="3" fontId="37" fillId="0" borderId="0" xfId="0" applyNumberFormat="1" applyFont="1"/>
    <xf numFmtId="43" fontId="37" fillId="0" borderId="1" xfId="1" applyFont="1" applyFill="1" applyBorder="1" applyAlignment="1">
      <alignment horizontal="right" vertical="center"/>
    </xf>
    <xf numFmtId="0" fontId="35" fillId="0" borderId="16" xfId="0" applyFont="1" applyBorder="1" applyAlignment="1">
      <alignment horizontal="center"/>
    </xf>
    <xf numFmtId="3" fontId="37" fillId="0" borderId="10" xfId="0" applyNumberFormat="1" applyFont="1" applyBorder="1"/>
    <xf numFmtId="2" fontId="37" fillId="0" borderId="3" xfId="0" applyNumberFormat="1" applyFont="1" applyBorder="1" applyAlignment="1">
      <alignment horizontal="center"/>
    </xf>
    <xf numFmtId="2" fontId="37" fillId="0" borderId="2" xfId="0" applyNumberFormat="1" applyFont="1" applyBorder="1" applyAlignment="1">
      <alignment horizontal="center"/>
    </xf>
    <xf numFmtId="3" fontId="37" fillId="0" borderId="3" xfId="0" applyNumberFormat="1" applyFont="1" applyBorder="1"/>
    <xf numFmtId="0" fontId="37" fillId="0" borderId="7" xfId="0" applyFont="1" applyBorder="1" applyAlignment="1">
      <alignment horizontal="center"/>
    </xf>
    <xf numFmtId="10" fontId="37" fillId="0" borderId="7" xfId="2" applyNumberFormat="1" applyFont="1" applyFill="1" applyBorder="1"/>
    <xf numFmtId="0" fontId="35" fillId="0" borderId="18" xfId="0" applyFont="1" applyBorder="1"/>
    <xf numFmtId="10" fontId="35" fillId="0" borderId="28" xfId="2" applyNumberFormat="1" applyFont="1" applyFill="1" applyBorder="1"/>
    <xf numFmtId="43" fontId="35" fillId="0" borderId="28" xfId="1" applyFont="1" applyFill="1" applyBorder="1"/>
    <xf numFmtId="43" fontId="21" fillId="0" borderId="1" xfId="1" applyFont="1" applyFill="1" applyBorder="1" applyAlignment="1">
      <alignment horizontal="right" vertical="center"/>
    </xf>
    <xf numFmtId="10" fontId="22" fillId="0" borderId="16" xfId="2" applyNumberFormat="1" applyFont="1" applyFill="1" applyBorder="1" applyAlignment="1">
      <alignment horizontal="center"/>
    </xf>
    <xf numFmtId="43" fontId="0" fillId="0" borderId="0" xfId="1" applyFont="1"/>
    <xf numFmtId="0" fontId="37" fillId="0" borderId="18" xfId="0" applyFont="1" applyBorder="1"/>
    <xf numFmtId="10" fontId="37" fillId="0" borderId="28" xfId="2" applyNumberFormat="1" applyFont="1" applyFill="1" applyBorder="1" applyAlignment="1">
      <alignment horizontal="center"/>
    </xf>
    <xf numFmtId="164" fontId="36" fillId="0" borderId="0" xfId="1" applyNumberFormat="1" applyFont="1"/>
    <xf numFmtId="2" fontId="37" fillId="0" borderId="0" xfId="0" applyNumberFormat="1" applyFont="1" applyAlignment="1">
      <alignment horizontal="right"/>
    </xf>
    <xf numFmtId="2" fontId="21" fillId="0" borderId="0" xfId="0" applyNumberFormat="1" applyFont="1" applyAlignment="1">
      <alignment horizontal="right"/>
    </xf>
    <xf numFmtId="10" fontId="20" fillId="0" borderId="0" xfId="0" applyNumberFormat="1" applyFont="1" applyAlignment="1">
      <alignment horizontal="right"/>
    </xf>
    <xf numFmtId="2" fontId="37" fillId="0" borderId="4" xfId="0" applyNumberFormat="1" applyFont="1" applyBorder="1" applyAlignment="1">
      <alignment horizontal="right"/>
    </xf>
    <xf numFmtId="10" fontId="21" fillId="0" borderId="1" xfId="2" applyNumberFormat="1" applyFont="1" applyBorder="1" applyAlignment="1">
      <alignment horizontal="right" vertical="center"/>
    </xf>
    <xf numFmtId="0" fontId="27" fillId="0" borderId="3" xfId="0" applyFont="1" applyBorder="1" applyAlignment="1">
      <alignment horizontal="center"/>
    </xf>
    <xf numFmtId="0" fontId="33" fillId="4" borderId="38" xfId="0" applyFont="1" applyFill="1" applyBorder="1"/>
    <xf numFmtId="10" fontId="37" fillId="4" borderId="38" xfId="2" applyNumberFormat="1" applyFont="1" applyFill="1" applyBorder="1" applyAlignment="1">
      <alignment horizontal="center"/>
    </xf>
    <xf numFmtId="0" fontId="18" fillId="0" borderId="20" xfId="0" applyFont="1" applyBorder="1"/>
    <xf numFmtId="10" fontId="18" fillId="0" borderId="20" xfId="2" applyNumberFormat="1" applyFont="1" applyFill="1" applyBorder="1"/>
    <xf numFmtId="10" fontId="18" fillId="0" borderId="20" xfId="0" applyNumberFormat="1" applyFont="1" applyBorder="1"/>
    <xf numFmtId="0" fontId="37" fillId="3" borderId="22" xfId="0" applyFont="1" applyFill="1" applyBorder="1"/>
    <xf numFmtId="10" fontId="37" fillId="3" borderId="27" xfId="2" applyNumberFormat="1" applyFont="1" applyFill="1" applyBorder="1" applyAlignment="1">
      <alignment horizontal="center"/>
    </xf>
    <xf numFmtId="10" fontId="37" fillId="0" borderId="8" xfId="2" applyNumberFormat="1" applyFont="1" applyFill="1" applyBorder="1"/>
    <xf numFmtId="0" fontId="18" fillId="0" borderId="8" xfId="0" applyFont="1" applyBorder="1"/>
    <xf numFmtId="0" fontId="18" fillId="0" borderId="14" xfId="0" applyFont="1" applyBorder="1"/>
    <xf numFmtId="0" fontId="0" fillId="0" borderId="8" xfId="0" applyBorder="1"/>
    <xf numFmtId="0" fontId="0" fillId="0" borderId="14" xfId="0" applyBorder="1"/>
    <xf numFmtId="10" fontId="37" fillId="4" borderId="26" xfId="2" applyNumberFormat="1" applyFont="1" applyFill="1" applyBorder="1" applyAlignment="1">
      <alignment horizontal="center"/>
    </xf>
    <xf numFmtId="0" fontId="33" fillId="4" borderId="26" xfId="0" applyFont="1" applyFill="1" applyBorder="1"/>
    <xf numFmtId="0" fontId="37" fillId="4" borderId="26" xfId="0" applyFont="1" applyFill="1" applyBorder="1"/>
    <xf numFmtId="0" fontId="37" fillId="3" borderId="26" xfId="0" applyFont="1" applyFill="1" applyBorder="1"/>
    <xf numFmtId="0" fontId="33" fillId="0" borderId="33" xfId="0" applyFont="1" applyBorder="1"/>
    <xf numFmtId="10" fontId="21" fillId="0" borderId="0" xfId="2" applyNumberFormat="1" applyFont="1" applyAlignment="1">
      <alignment horizontal="right"/>
    </xf>
    <xf numFmtId="10" fontId="21" fillId="0" borderId="4" xfId="2" applyNumberFormat="1" applyFont="1" applyFill="1" applyBorder="1" applyAlignment="1">
      <alignment horizontal="right"/>
    </xf>
    <xf numFmtId="10" fontId="21" fillId="0" borderId="4" xfId="2" applyNumberFormat="1" applyFont="1" applyBorder="1" applyAlignment="1">
      <alignment horizontal="right"/>
    </xf>
    <xf numFmtId="2" fontId="33" fillId="0" borderId="34" xfId="0" applyNumberFormat="1" applyFont="1" applyBorder="1" applyAlignment="1">
      <alignment horizontal="center"/>
    </xf>
    <xf numFmtId="10" fontId="23" fillId="0" borderId="16" xfId="2" applyNumberFormat="1" applyFont="1" applyFill="1" applyBorder="1" applyAlignment="1">
      <alignment horizontal="center" vertical="center"/>
    </xf>
    <xf numFmtId="10" fontId="23" fillId="0" borderId="16" xfId="2" applyNumberFormat="1" applyFont="1" applyFill="1" applyBorder="1" applyAlignment="1">
      <alignment horizontal="center"/>
    </xf>
    <xf numFmtId="0" fontId="36" fillId="3" borderId="0" xfId="0" applyFont="1" applyFill="1" applyAlignment="1">
      <alignment horizontal="center"/>
    </xf>
    <xf numFmtId="0" fontId="18" fillId="3" borderId="39" xfId="0" applyFont="1" applyFill="1" applyBorder="1" applyAlignment="1">
      <alignment horizontal="center"/>
    </xf>
    <xf numFmtId="0" fontId="36" fillId="3" borderId="1" xfId="0" applyFont="1" applyFill="1" applyBorder="1" applyAlignment="1">
      <alignment horizontal="center"/>
    </xf>
    <xf numFmtId="0" fontId="18" fillId="3" borderId="40" xfId="0" applyFont="1" applyFill="1" applyBorder="1" applyAlignment="1">
      <alignment horizontal="center"/>
    </xf>
    <xf numFmtId="0" fontId="18" fillId="3" borderId="41" xfId="0" applyFont="1" applyFill="1" applyBorder="1" applyAlignment="1">
      <alignment horizontal="center"/>
    </xf>
    <xf numFmtId="2" fontId="23" fillId="0" borderId="16" xfId="0" applyNumberFormat="1" applyFont="1" applyBorder="1" applyAlignment="1">
      <alignment horizontal="center"/>
    </xf>
    <xf numFmtId="2" fontId="35" fillId="0" borderId="28" xfId="0" applyNumberFormat="1" applyFont="1" applyBorder="1"/>
    <xf numFmtId="0" fontId="35" fillId="0" borderId="28" xfId="0" applyFont="1" applyBorder="1"/>
    <xf numFmtId="10" fontId="41" fillId="0" borderId="16" xfId="2" applyNumberFormat="1" applyFont="1" applyFill="1" applyBorder="1" applyAlignment="1">
      <alignment horizontal="center"/>
    </xf>
    <xf numFmtId="10" fontId="22" fillId="0" borderId="16" xfId="2" applyNumberFormat="1" applyFont="1" applyFill="1" applyBorder="1"/>
    <xf numFmtId="43" fontId="23" fillId="0" borderId="16" xfId="1" applyFont="1" applyFill="1" applyBorder="1" applyAlignment="1">
      <alignment horizontal="center"/>
    </xf>
    <xf numFmtId="10" fontId="23" fillId="0" borderId="32" xfId="2" applyNumberFormat="1" applyFont="1" applyFill="1" applyBorder="1" applyAlignment="1">
      <alignment horizontal="right"/>
    </xf>
    <xf numFmtId="10" fontId="23" fillId="0" borderId="34" xfId="0" applyNumberFormat="1" applyFont="1" applyBorder="1"/>
    <xf numFmtId="0" fontId="45" fillId="0" borderId="0" xfId="6" applyFont="1"/>
    <xf numFmtId="0" fontId="59" fillId="0" borderId="7" xfId="0" applyFont="1" applyBorder="1" applyAlignment="1">
      <alignment horizontal="center" vertical="center"/>
    </xf>
    <xf numFmtId="10" fontId="59" fillId="0" borderId="0" xfId="2" applyNumberFormat="1" applyFont="1" applyFill="1" applyBorder="1" applyAlignment="1">
      <alignment horizontal="center" vertical="center"/>
    </xf>
    <xf numFmtId="0" fontId="21" fillId="0" borderId="7" xfId="0" applyFont="1" applyBorder="1"/>
    <xf numFmtId="0" fontId="60" fillId="0" borderId="0" xfId="0" applyFont="1"/>
    <xf numFmtId="0" fontId="61" fillId="0" borderId="7" xfId="0" applyFont="1" applyBorder="1"/>
    <xf numFmtId="0" fontId="59" fillId="0" borderId="0" xfId="0" applyFont="1"/>
    <xf numFmtId="0" fontId="61" fillId="0" borderId="0" xfId="0" applyFont="1"/>
    <xf numFmtId="15" fontId="33" fillId="0" borderId="7" xfId="0" quotePrefix="1" applyNumberFormat="1" applyFont="1" applyBorder="1" applyAlignment="1">
      <alignment horizontal="center"/>
    </xf>
    <xf numFmtId="2" fontId="37" fillId="0" borderId="7" xfId="0" applyNumberFormat="1" applyFont="1" applyBorder="1" applyAlignment="1">
      <alignment horizontal="center"/>
    </xf>
    <xf numFmtId="2" fontId="37" fillId="0" borderId="8" xfId="0" applyNumberFormat="1" applyFont="1" applyBorder="1" applyAlignment="1">
      <alignment horizontal="center"/>
    </xf>
    <xf numFmtId="15" fontId="33" fillId="0" borderId="24" xfId="0" quotePrefix="1" applyNumberFormat="1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7" fillId="4" borderId="27" xfId="0" applyFont="1" applyFill="1" applyBorder="1"/>
    <xf numFmtId="10" fontId="37" fillId="4" borderId="27" xfId="2" applyNumberFormat="1" applyFont="1" applyFill="1" applyBorder="1" applyAlignment="1">
      <alignment horizontal="center"/>
    </xf>
    <xf numFmtId="3" fontId="63" fillId="0" borderId="0" xfId="0" applyNumberFormat="1" applyFont="1"/>
    <xf numFmtId="0" fontId="64" fillId="0" borderId="0" xfId="0" applyFont="1"/>
    <xf numFmtId="0" fontId="37" fillId="0" borderId="10" xfId="0" applyFont="1" applyBorder="1"/>
    <xf numFmtId="0" fontId="62" fillId="0" borderId="0" xfId="0" applyFont="1"/>
    <xf numFmtId="0" fontId="36" fillId="0" borderId="24" xfId="0" applyFont="1" applyBorder="1"/>
    <xf numFmtId="15" fontId="33" fillId="0" borderId="10" xfId="0" quotePrefix="1" applyNumberFormat="1" applyFont="1" applyBorder="1" applyAlignment="1">
      <alignment horizontal="center"/>
    </xf>
    <xf numFmtId="10" fontId="37" fillId="0" borderId="10" xfId="2" applyNumberFormat="1" applyFont="1" applyFill="1" applyBorder="1"/>
    <xf numFmtId="10" fontId="37" fillId="0" borderId="3" xfId="2" applyNumberFormat="1" applyFont="1" applyFill="1" applyBorder="1"/>
    <xf numFmtId="0" fontId="36" fillId="0" borderId="10" xfId="0" applyFont="1" applyBorder="1"/>
    <xf numFmtId="164" fontId="37" fillId="0" borderId="10" xfId="1" applyNumberFormat="1" applyFont="1" applyFill="1" applyBorder="1"/>
    <xf numFmtId="0" fontId="0" fillId="0" borderId="24" xfId="0" applyBorder="1"/>
    <xf numFmtId="164" fontId="37" fillId="0" borderId="3" xfId="1" applyNumberFormat="1" applyFont="1" applyFill="1" applyBorder="1"/>
    <xf numFmtId="0" fontId="27" fillId="3" borderId="25" xfId="0" applyFont="1" applyFill="1" applyBorder="1" applyAlignment="1">
      <alignment horizontal="center"/>
    </xf>
    <xf numFmtId="10" fontId="21" fillId="3" borderId="10" xfId="2" applyNumberFormat="1" applyFont="1" applyFill="1" applyBorder="1" applyAlignment="1">
      <alignment horizontal="center"/>
    </xf>
    <xf numFmtId="10" fontId="21" fillId="3" borderId="10" xfId="1" applyNumberFormat="1" applyFont="1" applyFill="1" applyBorder="1" applyAlignment="1">
      <alignment horizontal="center"/>
    </xf>
    <xf numFmtId="0" fontId="36" fillId="3" borderId="29" xfId="0" applyFont="1" applyFill="1" applyBorder="1" applyAlignment="1">
      <alignment horizontal="center"/>
    </xf>
    <xf numFmtId="0" fontId="36" fillId="3" borderId="20" xfId="0" applyFont="1" applyFill="1" applyBorder="1" applyAlignment="1">
      <alignment horizontal="center"/>
    </xf>
    <xf numFmtId="0" fontId="36" fillId="3" borderId="22" xfId="0" applyFont="1" applyFill="1" applyBorder="1" applyAlignment="1">
      <alignment horizontal="center"/>
    </xf>
    <xf numFmtId="0" fontId="55" fillId="3" borderId="16" xfId="0" applyFont="1" applyFill="1" applyBorder="1"/>
    <xf numFmtId="10" fontId="37" fillId="0" borderId="0" xfId="2" applyNumberFormat="1" applyFont="1" applyFill="1" applyAlignment="1">
      <alignment horizontal="right"/>
    </xf>
    <xf numFmtId="10" fontId="21" fillId="0" borderId="0" xfId="1" applyNumberFormat="1" applyFont="1" applyFill="1" applyAlignment="1">
      <alignment horizontal="right" vertical="center"/>
    </xf>
    <xf numFmtId="10" fontId="21" fillId="0" borderId="1" xfId="1" applyNumberFormat="1" applyFont="1" applyFill="1" applyBorder="1" applyAlignment="1">
      <alignment horizontal="right" vertical="center"/>
    </xf>
    <xf numFmtId="0" fontId="54" fillId="3" borderId="24" xfId="0" applyFont="1" applyFill="1" applyBorder="1" applyAlignment="1">
      <alignment horizontal="center" vertical="center" wrapText="1"/>
    </xf>
    <xf numFmtId="0" fontId="65" fillId="0" borderId="0" xfId="0" applyFont="1"/>
    <xf numFmtId="0" fontId="66" fillId="0" borderId="0" xfId="0" applyFont="1"/>
    <xf numFmtId="10" fontId="27" fillId="0" borderId="0" xfId="2" applyNumberFormat="1" applyFont="1" applyFill="1" applyBorder="1" applyAlignment="1">
      <alignment horizontal="center" vertical="center"/>
    </xf>
    <xf numFmtId="0" fontId="5" fillId="0" borderId="0" xfId="0" applyFont="1"/>
    <xf numFmtId="0" fontId="44" fillId="5" borderId="25" xfId="0" applyFont="1" applyFill="1" applyBorder="1" applyAlignment="1">
      <alignment horizontal="center"/>
    </xf>
    <xf numFmtId="0" fontId="44" fillId="5" borderId="27" xfId="0" applyFont="1" applyFill="1" applyBorder="1" applyAlignment="1">
      <alignment horizontal="center"/>
    </xf>
    <xf numFmtId="0" fontId="27" fillId="0" borderId="29" xfId="0" applyFont="1" applyBorder="1"/>
    <xf numFmtId="10" fontId="44" fillId="0" borderId="25" xfId="2" applyNumberFormat="1" applyFont="1" applyFill="1" applyBorder="1" applyAlignment="1">
      <alignment horizontal="center"/>
    </xf>
    <xf numFmtId="10" fontId="67" fillId="0" borderId="25" xfId="2" applyNumberFormat="1" applyFont="1" applyFill="1" applyBorder="1" applyAlignment="1">
      <alignment horizontal="center"/>
    </xf>
    <xf numFmtId="0" fontId="27" fillId="0" borderId="20" xfId="0" applyFont="1" applyBorder="1"/>
    <xf numFmtId="10" fontId="44" fillId="0" borderId="26" xfId="2" applyNumberFormat="1" applyFont="1" applyFill="1" applyBorder="1" applyAlignment="1">
      <alignment horizontal="center"/>
    </xf>
    <xf numFmtId="10" fontId="67" fillId="0" borderId="26" xfId="2" applyNumberFormat="1" applyFont="1" applyFill="1" applyBorder="1" applyAlignment="1">
      <alignment horizontal="center"/>
    </xf>
    <xf numFmtId="0" fontId="27" fillId="0" borderId="22" xfId="0" applyFont="1" applyBorder="1"/>
    <xf numFmtId="10" fontId="44" fillId="0" borderId="27" xfId="2" applyNumberFormat="1" applyFont="1" applyFill="1" applyBorder="1" applyAlignment="1">
      <alignment horizontal="center"/>
    </xf>
    <xf numFmtId="10" fontId="67" fillId="0" borderId="27" xfId="2" applyNumberFormat="1" applyFont="1" applyFill="1" applyBorder="1" applyAlignment="1">
      <alignment horizontal="center"/>
    </xf>
    <xf numFmtId="10" fontId="27" fillId="0" borderId="26" xfId="2" applyNumberFormat="1" applyFont="1" applyFill="1" applyBorder="1" applyAlignment="1">
      <alignment horizontal="center"/>
    </xf>
    <xf numFmtId="10" fontId="27" fillId="0" borderId="27" xfId="2" applyNumberFormat="1" applyFont="1" applyFill="1" applyBorder="1" applyAlignment="1">
      <alignment horizontal="center"/>
    </xf>
    <xf numFmtId="10" fontId="44" fillId="0" borderId="26" xfId="2" applyNumberFormat="1" applyFont="1" applyBorder="1" applyAlignment="1">
      <alignment horizontal="center" vertical="center"/>
    </xf>
    <xf numFmtId="10" fontId="44" fillId="0" borderId="27" xfId="2" applyNumberFormat="1" applyFont="1" applyBorder="1" applyAlignment="1">
      <alignment horizontal="center" vertical="center"/>
    </xf>
    <xf numFmtId="10" fontId="27" fillId="0" borderId="25" xfId="2" applyNumberFormat="1" applyFont="1" applyFill="1" applyBorder="1" applyAlignment="1">
      <alignment horizontal="center"/>
    </xf>
    <xf numFmtId="0" fontId="37" fillId="0" borderId="29" xfId="0" applyFont="1" applyBorder="1"/>
    <xf numFmtId="0" fontId="18" fillId="0" borderId="31" xfId="0" applyFont="1" applyBorder="1"/>
    <xf numFmtId="0" fontId="18" fillId="0" borderId="30" xfId="0" applyFont="1" applyBorder="1"/>
    <xf numFmtId="0" fontId="0" fillId="0" borderId="30" xfId="0" applyBorder="1"/>
    <xf numFmtId="0" fontId="37" fillId="0" borderId="20" xfId="0" applyFont="1" applyBorder="1"/>
    <xf numFmtId="0" fontId="0" fillId="0" borderId="21" xfId="0" applyBorder="1"/>
    <xf numFmtId="0" fontId="37" fillId="0" borderId="22" xfId="0" applyFont="1" applyBorder="1"/>
    <xf numFmtId="0" fontId="18" fillId="0" borderId="1" xfId="0" applyFont="1" applyBorder="1"/>
    <xf numFmtId="0" fontId="0" fillId="0" borderId="23" xfId="0" applyBorder="1"/>
    <xf numFmtId="10" fontId="33" fillId="0" borderId="29" xfId="2" applyNumberFormat="1" applyFont="1" applyBorder="1" applyAlignment="1">
      <alignment horizontal="left"/>
    </xf>
    <xf numFmtId="0" fontId="0" fillId="0" borderId="31" xfId="0" applyBorder="1"/>
    <xf numFmtId="0" fontId="70" fillId="0" borderId="22" xfId="6" applyFont="1" applyBorder="1"/>
    <xf numFmtId="0" fontId="66" fillId="0" borderId="0" xfId="0" applyFont="1" applyAlignment="1">
      <alignment vertical="center"/>
    </xf>
    <xf numFmtId="15" fontId="71" fillId="0" borderId="0" xfId="0" quotePrefix="1" applyNumberFormat="1" applyFont="1" applyAlignment="1">
      <alignment horizontal="left"/>
    </xf>
    <xf numFmtId="0" fontId="72" fillId="0" borderId="0" xfId="6" applyFont="1"/>
    <xf numFmtId="0" fontId="58" fillId="0" borderId="0" xfId="0" applyFont="1"/>
    <xf numFmtId="0" fontId="73" fillId="0" borderId="0" xfId="0" applyFont="1" applyAlignment="1">
      <alignment vertical="center"/>
    </xf>
    <xf numFmtId="0" fontId="74" fillId="0" borderId="0" xfId="6" applyFont="1" applyAlignment="1">
      <alignment vertical="center"/>
    </xf>
    <xf numFmtId="0" fontId="72" fillId="0" borderId="0" xfId="6" applyFont="1" applyAlignment="1">
      <alignment vertical="center"/>
    </xf>
    <xf numFmtId="0" fontId="71" fillId="0" borderId="0" xfId="6" applyFont="1"/>
    <xf numFmtId="17" fontId="73" fillId="0" borderId="0" xfId="0" quotePrefix="1" applyNumberFormat="1" applyFont="1" applyAlignment="1">
      <alignment vertical="center"/>
    </xf>
    <xf numFmtId="0" fontId="75" fillId="0" borderId="0" xfId="6" applyFont="1" applyAlignment="1">
      <alignment vertical="center"/>
    </xf>
    <xf numFmtId="0" fontId="75" fillId="0" borderId="0" xfId="0" applyFont="1"/>
    <xf numFmtId="0" fontId="76" fillId="0" borderId="0" xfId="0" applyFont="1" applyAlignment="1">
      <alignment vertical="center"/>
    </xf>
    <xf numFmtId="43" fontId="37" fillId="0" borderId="10" xfId="1" applyFont="1" applyBorder="1"/>
    <xf numFmtId="0" fontId="77" fillId="0" borderId="0" xfId="0" applyFont="1"/>
    <xf numFmtId="0" fontId="27" fillId="5" borderId="28" xfId="0" applyFont="1" applyFill="1" applyBorder="1" applyAlignment="1">
      <alignment horizontal="center"/>
    </xf>
    <xf numFmtId="0" fontId="0" fillId="0" borderId="29" xfId="0" applyBorder="1"/>
    <xf numFmtId="0" fontId="78" fillId="0" borderId="31" xfId="0" applyFont="1" applyBorder="1" applyAlignment="1">
      <alignment horizontal="right"/>
    </xf>
    <xf numFmtId="0" fontId="0" fillId="0" borderId="25" xfId="0" applyBorder="1"/>
    <xf numFmtId="0" fontId="0" fillId="0" borderId="20" xfId="0" applyBorder="1"/>
    <xf numFmtId="0" fontId="79" fillId="0" borderId="0" xfId="0" applyFont="1" applyAlignment="1">
      <alignment horizontal="right"/>
    </xf>
    <xf numFmtId="10" fontId="27" fillId="0" borderId="26" xfId="2" applyNumberFormat="1" applyFont="1" applyBorder="1" applyAlignment="1">
      <alignment horizontal="center"/>
    </xf>
    <xf numFmtId="0" fontId="27" fillId="0" borderId="0" xfId="0" applyFont="1" applyAlignment="1">
      <alignment horizontal="right" indent="1"/>
    </xf>
    <xf numFmtId="0" fontId="78" fillId="0" borderId="0" xfId="0" applyFont="1" applyAlignment="1">
      <alignment horizontal="right"/>
    </xf>
    <xf numFmtId="0" fontId="18" fillId="0" borderId="26" xfId="0" applyFont="1" applyBorder="1" applyAlignment="1">
      <alignment horizontal="center"/>
    </xf>
    <xf numFmtId="10" fontId="23" fillId="6" borderId="16" xfId="2" applyNumberFormat="1" applyFont="1" applyFill="1" applyBorder="1" applyAlignment="1">
      <alignment horizontal="center"/>
    </xf>
    <xf numFmtId="0" fontId="78" fillId="0" borderId="0" xfId="0" applyFont="1" applyAlignment="1">
      <alignment horizontal="right" vertical="center"/>
    </xf>
    <xf numFmtId="10" fontId="78" fillId="0" borderId="26" xfId="0" applyNumberFormat="1" applyFont="1" applyBorder="1" applyAlignment="1">
      <alignment horizontal="center"/>
    </xf>
    <xf numFmtId="0" fontId="0" fillId="0" borderId="22" xfId="0" applyBorder="1"/>
    <xf numFmtId="0" fontId="78" fillId="0" borderId="1" xfId="0" applyFont="1" applyBorder="1" applyAlignment="1">
      <alignment horizontal="right" vertical="center"/>
    </xf>
    <xf numFmtId="10" fontId="78" fillId="0" borderId="27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2" fontId="48" fillId="0" borderId="0" xfId="0" applyNumberFormat="1" applyFont="1" applyAlignment="1">
      <alignment horizontal="left"/>
    </xf>
    <xf numFmtId="10" fontId="68" fillId="0" borderId="0" xfId="2" applyNumberFormat="1" applyFont="1" applyFill="1" applyBorder="1" applyAlignment="1">
      <alignment horizontal="left"/>
    </xf>
    <xf numFmtId="0" fontId="69" fillId="0" borderId="0" xfId="0" applyFont="1" applyAlignment="1">
      <alignment horizontal="left"/>
    </xf>
    <xf numFmtId="10" fontId="41" fillId="6" borderId="16" xfId="2" applyNumberFormat="1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2" fontId="37" fillId="0" borderId="7" xfId="1" applyNumberFormat="1" applyFont="1" applyFill="1" applyBorder="1" applyAlignment="1">
      <alignment horizontal="center"/>
    </xf>
    <xf numFmtId="0" fontId="47" fillId="0" borderId="0" xfId="0" applyFont="1"/>
    <xf numFmtId="10" fontId="21" fillId="0" borderId="4" xfId="2" applyNumberFormat="1" applyFont="1" applyFill="1" applyBorder="1" applyAlignment="1">
      <alignment horizontal="center"/>
    </xf>
    <xf numFmtId="0" fontId="17" fillId="0" borderId="0" xfId="6" applyAlignment="1">
      <alignment vertical="center"/>
    </xf>
    <xf numFmtId="0" fontId="27" fillId="5" borderId="18" xfId="0" applyFont="1" applyFill="1" applyBorder="1" applyAlignment="1">
      <alignment horizontal="center"/>
    </xf>
    <xf numFmtId="0" fontId="27" fillId="5" borderId="42" xfId="0" applyFont="1" applyFill="1" applyBorder="1" applyAlignment="1">
      <alignment horizontal="center"/>
    </xf>
    <xf numFmtId="0" fontId="27" fillId="5" borderId="19" xfId="0" applyFont="1" applyFill="1" applyBorder="1" applyAlignment="1">
      <alignment horizontal="center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82" fillId="0" borderId="0" xfId="0" applyNumberFormat="1" applyFont="1" applyAlignment="1">
      <alignment horizontal="center"/>
    </xf>
    <xf numFmtId="0" fontId="83" fillId="0" borderId="2" xfId="0" applyFont="1" applyBorder="1"/>
    <xf numFmtId="0" fontId="84" fillId="0" borderId="0" xfId="0" applyFont="1"/>
    <xf numFmtId="0" fontId="85" fillId="0" borderId="2" xfId="0" applyFont="1" applyBorder="1"/>
    <xf numFmtId="0" fontId="85" fillId="0" borderId="0" xfId="0" applyFont="1" applyAlignment="1">
      <alignment horizontal="right" vertical="center"/>
    </xf>
    <xf numFmtId="0" fontId="85" fillId="0" borderId="0" xfId="0" applyFont="1"/>
    <xf numFmtId="0" fontId="84" fillId="0" borderId="0" xfId="0" applyFont="1" applyAlignment="1">
      <alignment horizontal="left"/>
    </xf>
    <xf numFmtId="10" fontId="85" fillId="0" borderId="0" xfId="2" applyNumberFormat="1" applyFont="1" applyFill="1" applyAlignment="1">
      <alignment horizontal="right"/>
    </xf>
    <xf numFmtId="10" fontId="85" fillId="0" borderId="4" xfId="2" applyNumberFormat="1" applyFont="1" applyFill="1" applyBorder="1" applyAlignment="1">
      <alignment horizontal="right"/>
    </xf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409575</xdr:colOff>
      <xdr:row>60</xdr:row>
      <xdr:rowOff>66675</xdr:rowOff>
    </xdr:to>
    <xdr:pic>
      <xdr:nvPicPr>
        <xdr:cNvPr id="2" name="Picture 1" descr="Valueline Industry Report dated March 13, 2026 page 1216.  Details the Power Industry economic and financial environment and outlook.">
          <a:extLst>
            <a:ext uri="{FF2B5EF4-FFF2-40B4-BE49-F238E27FC236}">
              <a16:creationId xmlns:a16="http://schemas.microsoft.com/office/drawing/2014/main" id="{64827884-F7BB-CB74-72EC-3079FBC0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43975" cy="1149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29</xdr:col>
      <xdr:colOff>371475</xdr:colOff>
      <xdr:row>60</xdr:row>
      <xdr:rowOff>85725</xdr:rowOff>
    </xdr:to>
    <xdr:pic>
      <xdr:nvPicPr>
        <xdr:cNvPr id="3" name="Picture 2" descr="Valueline Industry Report dated Febraury 6, 2026 page 128.  Details east region Electric Utility Industry economic and financial environment and outlook.">
          <a:extLst>
            <a:ext uri="{FF2B5EF4-FFF2-40B4-BE49-F238E27FC236}">
              <a16:creationId xmlns:a16="http://schemas.microsoft.com/office/drawing/2014/main" id="{E8E82C15-A1D6-98D0-03FD-6533583A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8905875" cy="1151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view="pageBreakPreview" zoomScaleNormal="100" zoomScaleSheetLayoutView="100" workbookViewId="0">
      <selection activeCell="G12" sqref="G12"/>
    </sheetView>
  </sheetViews>
  <sheetFormatPr defaultRowHeight="15"/>
  <cols>
    <col min="9" max="9" width="16.42578125" customWidth="1"/>
  </cols>
  <sheetData>
    <row r="1" spans="1:13" ht="18.75">
      <c r="A1" s="458" t="s">
        <v>0</v>
      </c>
      <c r="B1" s="459"/>
      <c r="C1" s="459"/>
      <c r="D1" s="459"/>
      <c r="E1" s="459"/>
      <c r="F1" s="459"/>
      <c r="G1" s="459"/>
      <c r="H1" s="459"/>
      <c r="I1" s="459"/>
    </row>
    <row r="5" spans="1:13" ht="27">
      <c r="E5" s="460" t="s">
        <v>0</v>
      </c>
      <c r="F5" s="461"/>
      <c r="G5" s="461"/>
      <c r="H5" s="461"/>
      <c r="I5" s="461"/>
      <c r="J5" s="461"/>
      <c r="K5" s="461"/>
      <c r="L5" s="461"/>
      <c r="M5" s="461"/>
    </row>
    <row r="7" spans="1:13" ht="27">
      <c r="A7" s="462" t="s">
        <v>30</v>
      </c>
      <c r="B7" s="463"/>
      <c r="C7" s="463"/>
      <c r="D7" s="463"/>
      <c r="E7" s="463"/>
      <c r="F7" s="463"/>
      <c r="G7" s="463"/>
      <c r="H7" s="463"/>
      <c r="I7" s="463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B9" s="7"/>
      <c r="C9" s="7"/>
      <c r="D9" s="7"/>
      <c r="E9" s="6" t="s">
        <v>478</v>
      </c>
      <c r="F9" s="7"/>
      <c r="G9" s="7"/>
      <c r="H9" s="7"/>
      <c r="I9" s="7"/>
    </row>
    <row r="15" spans="1:13">
      <c r="A15" s="455" t="s">
        <v>0</v>
      </c>
      <c r="B15" s="456"/>
      <c r="C15" s="456"/>
      <c r="D15" s="456"/>
      <c r="E15" s="456"/>
      <c r="F15" s="456"/>
      <c r="G15" s="456"/>
      <c r="H15" s="456"/>
      <c r="I15" s="456"/>
    </row>
    <row r="16" spans="1:13" ht="26.25">
      <c r="A16" s="453" t="str">
        <f>+'S&amp;D'!A12</f>
        <v>Electric Wholesale (non-regulated) Power Generator</v>
      </c>
      <c r="B16" s="454"/>
      <c r="C16" s="454"/>
      <c r="D16" s="454"/>
      <c r="E16" s="454"/>
      <c r="F16" s="454"/>
      <c r="G16" s="454"/>
      <c r="H16" s="454"/>
      <c r="I16" s="454"/>
    </row>
    <row r="17" spans="1:9">
      <c r="A17" s="455" t="s">
        <v>0</v>
      </c>
      <c r="B17" s="456"/>
      <c r="C17" s="456"/>
      <c r="D17" s="456"/>
      <c r="E17" s="456"/>
      <c r="F17" s="456"/>
      <c r="G17" s="456"/>
      <c r="H17" s="456"/>
      <c r="I17" s="456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55" t="s">
        <v>0</v>
      </c>
      <c r="B29" s="456"/>
      <c r="C29" s="456"/>
      <c r="D29" s="456"/>
      <c r="E29" s="456"/>
      <c r="F29" s="456"/>
      <c r="G29" s="456"/>
      <c r="H29" s="456"/>
      <c r="I29" s="456"/>
    </row>
    <row r="34" spans="1:9">
      <c r="A34" s="457" t="e" vm="1">
        <v>#VALUE!</v>
      </c>
      <c r="B34" s="457"/>
      <c r="C34" s="457"/>
      <c r="D34" s="457"/>
      <c r="E34" s="457"/>
      <c r="F34" s="457"/>
      <c r="G34" s="457"/>
      <c r="H34" s="457"/>
      <c r="I34" s="457"/>
    </row>
    <row r="35" spans="1:9">
      <c r="A35" s="457"/>
      <c r="B35" s="457"/>
      <c r="C35" s="457"/>
      <c r="D35" s="457"/>
      <c r="E35" s="457"/>
      <c r="F35" s="457"/>
      <c r="G35" s="457"/>
      <c r="H35" s="457"/>
      <c r="I35" s="457"/>
    </row>
    <row r="36" spans="1:9">
      <c r="A36" s="457"/>
      <c r="B36" s="457"/>
      <c r="C36" s="457"/>
      <c r="D36" s="457"/>
      <c r="E36" s="457"/>
      <c r="F36" s="457"/>
      <c r="G36" s="457"/>
      <c r="H36" s="457"/>
      <c r="I36" s="457"/>
    </row>
    <row r="37" spans="1:9">
      <c r="A37" s="457"/>
      <c r="B37" s="457"/>
      <c r="C37" s="457"/>
      <c r="D37" s="457"/>
      <c r="E37" s="457"/>
      <c r="F37" s="457"/>
      <c r="G37" s="457"/>
      <c r="H37" s="457"/>
      <c r="I37" s="457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zoomScale="80" zoomScaleNormal="80" zoomScaleSheetLayoutView="80" workbookViewId="0">
      <selection activeCell="F24" sqref="F24"/>
    </sheetView>
  </sheetViews>
  <sheetFormatPr defaultRowHeight="15"/>
  <cols>
    <col min="1" max="1" width="22.28515625" customWidth="1"/>
    <col min="2" max="2" width="39.7109375" customWidth="1"/>
    <col min="3" max="3" width="16.85546875" customWidth="1"/>
    <col min="4" max="4" width="35.28515625" customWidth="1"/>
    <col min="5" max="5" width="18" customWidth="1"/>
    <col min="6" max="6" width="20.85546875" bestFit="1" customWidth="1"/>
    <col min="7" max="7" width="22" customWidth="1"/>
    <col min="8" max="8" width="23.7109375" customWidth="1"/>
  </cols>
  <sheetData>
    <row r="1" spans="1:11" ht="26.25">
      <c r="A1" s="24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7.25">
      <c r="A2" s="25" t="s">
        <v>9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7.25" customHeight="1">
      <c r="A3" s="26" t="s">
        <v>479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7.25" customHeight="1">
      <c r="B4" s="26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>
      <c r="B5" s="138"/>
      <c r="C5" s="12"/>
      <c r="D5" s="12"/>
      <c r="E5" s="12"/>
      <c r="F5" s="12"/>
      <c r="G5" s="12"/>
      <c r="H5" s="12"/>
      <c r="I5" s="12"/>
      <c r="J5" s="12"/>
      <c r="K5" s="12"/>
    </row>
    <row r="6" spans="1:11" ht="17.25" customHeight="1">
      <c r="B6" s="138"/>
      <c r="C6" s="12"/>
      <c r="D6" s="12"/>
      <c r="E6" s="12"/>
      <c r="F6" s="12"/>
      <c r="G6" s="12"/>
      <c r="H6" s="12"/>
      <c r="I6" s="12"/>
      <c r="J6" s="12"/>
      <c r="K6" s="12"/>
    </row>
    <row r="7" spans="1:11" ht="17.25" customHeight="1">
      <c r="B7" s="138"/>
      <c r="C7" s="12"/>
      <c r="D7" s="12"/>
      <c r="E7" s="12"/>
      <c r="F7" s="12"/>
      <c r="G7" s="12"/>
      <c r="H7" s="12"/>
      <c r="I7" s="12"/>
      <c r="J7" s="12"/>
      <c r="K7" s="12"/>
    </row>
    <row r="8" spans="1:11" ht="16.5">
      <c r="B8" s="26"/>
      <c r="C8" s="12"/>
      <c r="D8" s="12"/>
      <c r="E8" s="12"/>
      <c r="F8" s="12"/>
      <c r="G8" s="12"/>
      <c r="H8" s="12"/>
      <c r="I8" s="12"/>
      <c r="J8" s="12"/>
      <c r="K8" s="12"/>
    </row>
    <row r="9" spans="1:11" ht="20.25">
      <c r="B9" s="12"/>
      <c r="C9" s="12"/>
      <c r="D9" s="77" t="s">
        <v>0</v>
      </c>
      <c r="E9" s="12"/>
      <c r="F9" s="12"/>
      <c r="G9" s="12"/>
      <c r="H9" s="12"/>
      <c r="I9" s="12"/>
      <c r="J9" s="12"/>
      <c r="K9" s="12"/>
    </row>
    <row r="10" spans="1:11" ht="20.25">
      <c r="B10" s="12"/>
      <c r="C10" s="12"/>
      <c r="D10" s="77" t="s">
        <v>74</v>
      </c>
      <c r="E10" s="12"/>
      <c r="F10" s="12"/>
      <c r="G10" s="12"/>
      <c r="H10" s="12"/>
      <c r="I10" s="12"/>
      <c r="J10" s="12"/>
      <c r="K10" s="12"/>
    </row>
    <row r="11" spans="1:11" ht="16.5"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6.5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6.5">
      <c r="B13" s="12"/>
      <c r="C13" s="12"/>
      <c r="D13" s="12"/>
      <c r="E13" s="27"/>
      <c r="F13" s="12"/>
      <c r="G13" s="12"/>
      <c r="H13" s="12"/>
      <c r="I13" s="12"/>
      <c r="J13" s="12"/>
      <c r="K13" s="12"/>
    </row>
    <row r="14" spans="1:11" ht="16.5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7.25" thickBot="1">
      <c r="B15" s="12"/>
      <c r="C15" s="29"/>
      <c r="D15" s="29"/>
      <c r="E15" s="29"/>
      <c r="F15" s="12"/>
      <c r="G15" s="12"/>
      <c r="H15" s="12"/>
      <c r="I15" s="12"/>
      <c r="J15" s="12"/>
      <c r="K15" s="12"/>
    </row>
    <row r="16" spans="1:11" ht="26.25">
      <c r="B16" s="12"/>
      <c r="C16" s="12"/>
      <c r="D16" s="31" t="str">
        <f>+'S&amp;D'!A12</f>
        <v>Electric Wholesale (non-regulated) Power Generator</v>
      </c>
      <c r="E16" s="12"/>
      <c r="F16" s="12"/>
      <c r="G16" s="12"/>
      <c r="H16" s="12"/>
      <c r="I16" s="12"/>
      <c r="J16" s="12"/>
      <c r="K16" s="12"/>
    </row>
    <row r="17" spans="2:11" ht="17.25" thickBot="1">
      <c r="B17" s="12"/>
      <c r="C17" s="29"/>
      <c r="D17" s="36" t="s">
        <v>0</v>
      </c>
      <c r="E17" s="29"/>
      <c r="F17" s="12"/>
      <c r="G17" s="12"/>
      <c r="H17" s="12"/>
      <c r="I17" s="12"/>
      <c r="J17" s="12"/>
      <c r="K17" s="12"/>
    </row>
    <row r="18" spans="2:11" ht="17.25" thickBot="1">
      <c r="B18" s="29"/>
      <c r="C18" s="29"/>
      <c r="D18" s="36" t="s">
        <v>0</v>
      </c>
      <c r="E18" s="29"/>
      <c r="F18" s="29"/>
      <c r="G18" s="29"/>
      <c r="H18" s="12"/>
      <c r="I18" s="12"/>
      <c r="J18" s="12"/>
      <c r="K18" s="12"/>
    </row>
    <row r="19" spans="2:11" ht="16.5">
      <c r="B19" s="34" t="s">
        <v>31</v>
      </c>
      <c r="C19" s="34" t="s">
        <v>32</v>
      </c>
      <c r="D19" s="34" t="s">
        <v>33</v>
      </c>
      <c r="E19" s="34" t="s">
        <v>78</v>
      </c>
      <c r="F19" s="34" t="s">
        <v>33</v>
      </c>
      <c r="G19" s="34" t="s">
        <v>34</v>
      </c>
      <c r="H19" s="12"/>
      <c r="I19" s="12"/>
      <c r="J19" s="12"/>
      <c r="K19" s="12"/>
    </row>
    <row r="20" spans="2:11" ht="17.25" thickBot="1">
      <c r="B20" s="36" t="s">
        <v>32</v>
      </c>
      <c r="C20" s="36" t="s">
        <v>35</v>
      </c>
      <c r="D20" s="36" t="s">
        <v>36</v>
      </c>
      <c r="E20" s="36" t="s">
        <v>23</v>
      </c>
      <c r="F20" s="36" t="s">
        <v>37</v>
      </c>
      <c r="G20" s="36" t="s">
        <v>38</v>
      </c>
      <c r="H20" s="12"/>
      <c r="I20" s="12"/>
      <c r="J20" s="12"/>
      <c r="K20" s="12"/>
    </row>
    <row r="21" spans="2:11" ht="16.5">
      <c r="B21" s="38" t="s">
        <v>0</v>
      </c>
      <c r="C21" s="38" t="s">
        <v>0</v>
      </c>
      <c r="D21" s="38" t="s">
        <v>0</v>
      </c>
      <c r="E21" s="38" t="s">
        <v>0</v>
      </c>
      <c r="F21" s="38" t="s">
        <v>0</v>
      </c>
      <c r="G21" s="38" t="s">
        <v>0</v>
      </c>
      <c r="H21" s="12"/>
      <c r="I21" s="12"/>
      <c r="J21" s="12"/>
      <c r="K21" s="12"/>
    </row>
    <row r="22" spans="2:11" ht="16.5">
      <c r="B22" s="34"/>
      <c r="C22" s="34"/>
      <c r="D22" s="34"/>
      <c r="E22" s="34"/>
      <c r="F22" s="34"/>
      <c r="G22" s="34"/>
      <c r="H22" s="12"/>
      <c r="I22" s="12"/>
      <c r="J22" s="12"/>
      <c r="K22" s="12"/>
    </row>
    <row r="23" spans="2:11" ht="17.25">
      <c r="B23" s="89" t="s">
        <v>39</v>
      </c>
      <c r="C23" s="131">
        <f>'S&amp;D'!J50</f>
        <v>0.62</v>
      </c>
      <c r="D23" s="131">
        <f>+'Indicated Yield Equity Rate '!D52</f>
        <v>0.1056</v>
      </c>
      <c r="E23" s="103"/>
      <c r="F23" s="131">
        <f>+D23</f>
        <v>0.1056</v>
      </c>
      <c r="G23" s="132">
        <f>+F23*C23</f>
        <v>6.5472000000000002E-2</v>
      </c>
      <c r="H23" s="12"/>
      <c r="I23" s="12"/>
      <c r="J23" s="12"/>
      <c r="K23" s="12"/>
    </row>
    <row r="24" spans="2:11" ht="17.25">
      <c r="B24" s="89" t="s">
        <v>0</v>
      </c>
      <c r="C24" s="103" t="s">
        <v>0</v>
      </c>
      <c r="D24" s="103" t="s">
        <v>0</v>
      </c>
      <c r="E24" s="103" t="s">
        <v>0</v>
      </c>
      <c r="F24" s="464" t="s">
        <v>0</v>
      </c>
      <c r="G24" s="120" t="s">
        <v>0</v>
      </c>
      <c r="H24" s="12"/>
      <c r="I24" s="12"/>
      <c r="J24" s="12"/>
      <c r="K24" s="12"/>
    </row>
    <row r="25" spans="2:11" ht="17.25">
      <c r="B25" s="89" t="s">
        <v>40</v>
      </c>
      <c r="C25" s="131">
        <f>'S&amp;D'!K50</f>
        <v>0.38</v>
      </c>
      <c r="D25" s="131">
        <f>+Debt!J29</f>
        <v>6.54E-2</v>
      </c>
      <c r="E25" s="131">
        <v>0.26</v>
      </c>
      <c r="F25" s="131">
        <f>+D25*(1-E25)</f>
        <v>4.8396000000000002E-2</v>
      </c>
      <c r="G25" s="132">
        <f>+C25*F25</f>
        <v>1.8390480000000001E-2</v>
      </c>
      <c r="H25" s="12"/>
      <c r="I25" s="12"/>
      <c r="J25" s="12"/>
      <c r="K25" s="12"/>
    </row>
    <row r="26" spans="2:11" ht="18" thickBot="1">
      <c r="B26" s="97" t="s">
        <v>0</v>
      </c>
      <c r="C26" s="97" t="s">
        <v>0</v>
      </c>
      <c r="D26" s="97" t="s">
        <v>0</v>
      </c>
      <c r="E26" s="97" t="s">
        <v>0</v>
      </c>
      <c r="F26" s="133" t="s">
        <v>0</v>
      </c>
      <c r="G26" s="134" t="s">
        <v>0</v>
      </c>
      <c r="H26" s="12"/>
      <c r="I26" s="12"/>
      <c r="J26" s="12"/>
      <c r="K26" s="12"/>
    </row>
    <row r="27" spans="2:11" ht="17.25">
      <c r="B27" s="89" t="s">
        <v>81</v>
      </c>
      <c r="C27" s="135">
        <f>+C23+C25</f>
        <v>1</v>
      </c>
      <c r="D27" s="89" t="s">
        <v>0</v>
      </c>
      <c r="E27" s="89" t="s">
        <v>0</v>
      </c>
      <c r="F27" s="136" t="s">
        <v>0</v>
      </c>
      <c r="G27" s="132">
        <f>+G23+G25</f>
        <v>8.3862480000000003E-2</v>
      </c>
      <c r="H27" s="12"/>
      <c r="I27" s="12"/>
      <c r="J27" s="12"/>
      <c r="K27" s="12"/>
    </row>
    <row r="28" spans="2:11" ht="18" thickBot="1">
      <c r="B28" s="62"/>
      <c r="C28" s="62"/>
      <c r="D28" s="62"/>
      <c r="E28" s="62"/>
      <c r="F28" s="62"/>
      <c r="G28" s="137"/>
      <c r="H28" s="12"/>
      <c r="I28" s="12"/>
      <c r="J28" s="12"/>
      <c r="K28" s="12"/>
    </row>
    <row r="29" spans="2:11" ht="18" thickBot="1">
      <c r="B29" s="12"/>
      <c r="C29" s="12"/>
      <c r="D29" s="12"/>
      <c r="E29" s="12"/>
      <c r="F29" s="181" t="s">
        <v>84</v>
      </c>
      <c r="G29" s="167">
        <v>8.3900000000000002E-2</v>
      </c>
      <c r="H29" s="12"/>
      <c r="I29" s="12"/>
      <c r="J29" s="12"/>
      <c r="K29" s="12"/>
    </row>
    <row r="30" spans="2:11" ht="16.5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2:11" ht="16.5"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39" zoomScale="80" zoomScaleNormal="80" zoomScaleSheetLayoutView="80" workbookViewId="0">
      <selection activeCell="F57" activeCellId="1" sqref="F24 F57"/>
    </sheetView>
  </sheetViews>
  <sheetFormatPr defaultRowHeight="15"/>
  <cols>
    <col min="1" max="1" width="17.28515625" customWidth="1"/>
    <col min="2" max="2" width="31.7109375" customWidth="1"/>
    <col min="3" max="3" width="16.5703125" customWidth="1"/>
    <col min="4" max="4" width="35.28515625" customWidth="1"/>
    <col min="5" max="5" width="14.85546875" customWidth="1"/>
    <col min="6" max="6" width="25.85546875" customWidth="1"/>
    <col min="7" max="7" width="24.140625" customWidth="1"/>
    <col min="8" max="8" width="17.7109375" customWidth="1"/>
  </cols>
  <sheetData>
    <row r="1" spans="1:11" ht="26.25">
      <c r="A1" s="24" t="s">
        <v>1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7.25">
      <c r="A2" s="25" t="s">
        <v>9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16.5">
      <c r="A3" s="26" t="s">
        <v>479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ht="16.5">
      <c r="B4" s="26"/>
      <c r="C4" s="12"/>
      <c r="D4" s="12"/>
      <c r="E4" s="12"/>
      <c r="F4" s="12"/>
      <c r="G4" s="12"/>
      <c r="H4" s="12"/>
      <c r="I4" s="12"/>
      <c r="J4" s="12"/>
      <c r="K4" s="12"/>
    </row>
    <row r="5" spans="1:11" ht="16.5">
      <c r="B5" s="26"/>
      <c r="C5" s="12"/>
      <c r="D5" s="12"/>
      <c r="E5" s="12"/>
      <c r="F5" s="12"/>
      <c r="G5" s="12"/>
      <c r="H5" s="12"/>
      <c r="I5" s="12"/>
      <c r="J5" s="12"/>
      <c r="K5" s="12"/>
    </row>
    <row r="6" spans="1:11" ht="16.5">
      <c r="B6" s="26"/>
      <c r="C6" s="12"/>
      <c r="D6" s="12"/>
      <c r="E6" s="12"/>
      <c r="F6" s="12"/>
      <c r="G6" s="12"/>
      <c r="H6" s="12"/>
      <c r="I6" s="12"/>
      <c r="J6" s="12"/>
      <c r="K6" s="12"/>
    </row>
    <row r="7" spans="1:11" ht="16.5">
      <c r="B7" s="26"/>
      <c r="C7" s="12"/>
      <c r="D7" s="12"/>
      <c r="E7" s="12"/>
      <c r="F7" s="12"/>
      <c r="G7" s="12"/>
      <c r="H7" s="12"/>
      <c r="I7" s="12"/>
      <c r="J7" s="12"/>
      <c r="K7" s="12"/>
    </row>
    <row r="8" spans="1:11" ht="16.5">
      <c r="B8" s="26"/>
      <c r="C8" s="12"/>
      <c r="D8" s="12"/>
      <c r="E8" s="12"/>
      <c r="F8" s="12"/>
      <c r="G8" s="12"/>
      <c r="H8" s="12"/>
      <c r="I8" s="12"/>
      <c r="J8" s="12"/>
      <c r="K8" s="12"/>
    </row>
    <row r="9" spans="1:11" ht="16.5">
      <c r="B9" s="26"/>
      <c r="C9" s="12"/>
      <c r="D9" s="12"/>
      <c r="E9" s="12"/>
      <c r="F9" s="12"/>
      <c r="G9" s="12"/>
      <c r="H9" s="12"/>
      <c r="I9" s="12"/>
      <c r="J9" s="12"/>
      <c r="K9" s="12"/>
    </row>
    <row r="10" spans="1:11" ht="20.25">
      <c r="B10" s="12"/>
      <c r="C10" s="12"/>
      <c r="D10" s="77" t="s">
        <v>0</v>
      </c>
      <c r="E10" s="12"/>
      <c r="F10" s="12"/>
      <c r="G10" s="12"/>
      <c r="H10" s="12"/>
      <c r="I10" s="12"/>
      <c r="J10" s="12"/>
      <c r="K10" s="12"/>
    </row>
    <row r="11" spans="1:11" ht="20.25">
      <c r="B11" s="12"/>
      <c r="C11" s="12"/>
      <c r="D11" s="77" t="s">
        <v>73</v>
      </c>
      <c r="E11" s="12"/>
      <c r="F11" s="12"/>
      <c r="G11" s="12"/>
      <c r="H11" s="12"/>
      <c r="I11" s="12"/>
      <c r="J11" s="12"/>
      <c r="K11" s="12"/>
    </row>
    <row r="12" spans="1:11" ht="16.5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16.5"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7.25" thickBot="1">
      <c r="B14" s="12"/>
      <c r="C14" s="29"/>
      <c r="D14" s="29"/>
      <c r="E14" s="29"/>
      <c r="F14" s="12"/>
      <c r="G14" s="12"/>
      <c r="H14" s="12"/>
      <c r="I14" s="12"/>
      <c r="J14" s="12"/>
      <c r="K14" s="12"/>
    </row>
    <row r="15" spans="1:11" ht="26.25">
      <c r="B15" s="12"/>
      <c r="C15" s="12"/>
      <c r="D15" s="31" t="str">
        <f>+'S&amp;D'!A12</f>
        <v>Electric Wholesale (non-regulated) Power Generator</v>
      </c>
      <c r="E15" s="12"/>
      <c r="F15" s="12"/>
      <c r="G15" s="12"/>
      <c r="H15" s="12"/>
      <c r="I15" s="12"/>
      <c r="J15" s="12"/>
      <c r="K15" s="12"/>
    </row>
    <row r="16" spans="1:11" ht="21" thickBot="1">
      <c r="B16" s="12"/>
      <c r="C16" s="29"/>
      <c r="D16" s="130" t="s">
        <v>80</v>
      </c>
      <c r="E16" s="29"/>
      <c r="F16" s="12"/>
      <c r="G16" s="12"/>
      <c r="H16" s="12"/>
      <c r="I16" s="12"/>
      <c r="J16" s="12"/>
      <c r="K16" s="12"/>
    </row>
    <row r="17" spans="2:11" ht="16.5">
      <c r="H17" s="12"/>
      <c r="I17" s="12"/>
      <c r="J17" s="12"/>
      <c r="K17" s="12"/>
    </row>
    <row r="18" spans="2:11" ht="17.25" thickBot="1">
      <c r="B18" s="29"/>
      <c r="C18" s="29"/>
      <c r="D18" s="36" t="s">
        <v>0</v>
      </c>
      <c r="E18" s="29"/>
      <c r="F18" s="29"/>
      <c r="G18" s="29"/>
      <c r="H18" s="12"/>
      <c r="I18" s="12"/>
      <c r="J18" s="12"/>
      <c r="K18" s="12"/>
    </row>
    <row r="19" spans="2:11" ht="16.5">
      <c r="B19" s="34" t="s">
        <v>31</v>
      </c>
      <c r="C19" s="34" t="s">
        <v>32</v>
      </c>
      <c r="D19" s="34" t="s">
        <v>77</v>
      </c>
      <c r="E19" s="34" t="s">
        <v>78</v>
      </c>
      <c r="F19" s="34" t="s">
        <v>76</v>
      </c>
      <c r="G19" s="34" t="s">
        <v>34</v>
      </c>
      <c r="H19" s="12"/>
      <c r="I19" s="12"/>
      <c r="J19" s="12"/>
      <c r="K19" s="12"/>
    </row>
    <row r="20" spans="2:11" ht="17.25" thickBot="1">
      <c r="B20" s="36" t="s">
        <v>32</v>
      </c>
      <c r="C20" s="36" t="s">
        <v>35</v>
      </c>
      <c r="D20" s="36" t="s">
        <v>36</v>
      </c>
      <c r="E20" s="36" t="s">
        <v>23</v>
      </c>
      <c r="F20" s="36" t="s">
        <v>37</v>
      </c>
      <c r="G20" s="36" t="s">
        <v>79</v>
      </c>
      <c r="H20" s="12"/>
      <c r="I20" s="12"/>
      <c r="J20" s="12"/>
      <c r="K20" s="12"/>
    </row>
    <row r="21" spans="2:11" ht="16.5">
      <c r="B21" s="38" t="s">
        <v>0</v>
      </c>
      <c r="C21" s="38" t="s">
        <v>0</v>
      </c>
      <c r="D21" s="38" t="s">
        <v>0</v>
      </c>
      <c r="E21" s="38" t="s">
        <v>0</v>
      </c>
      <c r="F21" s="38" t="s">
        <v>0</v>
      </c>
      <c r="G21" s="38" t="s">
        <v>0</v>
      </c>
      <c r="H21" s="12"/>
      <c r="I21" s="12"/>
      <c r="J21" s="12"/>
      <c r="K21" s="12"/>
    </row>
    <row r="22" spans="2:11" ht="16.5">
      <c r="B22" s="34"/>
      <c r="C22" s="34"/>
      <c r="D22" s="34"/>
      <c r="E22" s="34"/>
      <c r="F22" s="34"/>
      <c r="G22" s="34"/>
      <c r="H22" s="12"/>
      <c r="I22" s="12"/>
      <c r="J22" s="12"/>
      <c r="K22" s="12"/>
    </row>
    <row r="23" spans="2:11" ht="17.25">
      <c r="B23" s="89" t="s">
        <v>39</v>
      </c>
      <c r="C23" s="131">
        <f>'S&amp;D'!J50</f>
        <v>0.62</v>
      </c>
      <c r="D23" s="131">
        <f>+'Direct NOPAT'!J33</f>
        <v>7.7800000000000008E-2</v>
      </c>
      <c r="E23" s="103"/>
      <c r="F23" s="131">
        <f>+D23</f>
        <v>7.7800000000000008E-2</v>
      </c>
      <c r="G23" s="132">
        <f>+F23*C23</f>
        <v>4.8236000000000008E-2</v>
      </c>
      <c r="H23" s="12"/>
      <c r="I23" s="12"/>
      <c r="J23" s="12"/>
      <c r="K23" s="12"/>
    </row>
    <row r="24" spans="2:11" ht="17.25">
      <c r="B24" s="89" t="s">
        <v>0</v>
      </c>
      <c r="C24" s="103" t="s">
        <v>0</v>
      </c>
      <c r="D24" s="103" t="s">
        <v>0</v>
      </c>
      <c r="E24" s="103" t="s">
        <v>0</v>
      </c>
      <c r="F24" s="464" t="s">
        <v>0</v>
      </c>
      <c r="G24" s="120" t="s">
        <v>0</v>
      </c>
      <c r="H24" s="12"/>
      <c r="I24" s="12"/>
      <c r="J24" s="12"/>
      <c r="K24" s="12"/>
    </row>
    <row r="25" spans="2:11" ht="17.25">
      <c r="B25" s="89" t="s">
        <v>40</v>
      </c>
      <c r="C25" s="131">
        <f>'S&amp;D'!K50</f>
        <v>0.38</v>
      </c>
      <c r="D25" s="131">
        <f>+Debt!J29</f>
        <v>6.54E-2</v>
      </c>
      <c r="E25" s="131">
        <v>0.26</v>
      </c>
      <c r="F25" s="131">
        <f>+D25*(1-E25)</f>
        <v>4.8396000000000002E-2</v>
      </c>
      <c r="G25" s="132">
        <f>+C25*F25</f>
        <v>1.8390480000000001E-2</v>
      </c>
      <c r="H25" s="12"/>
      <c r="I25" s="12"/>
      <c r="J25" s="12"/>
      <c r="K25" s="12"/>
    </row>
    <row r="26" spans="2:11" ht="18" thickBot="1">
      <c r="B26" s="97" t="s">
        <v>0</v>
      </c>
      <c r="C26" s="97" t="s">
        <v>0</v>
      </c>
      <c r="D26" s="97" t="s">
        <v>0</v>
      </c>
      <c r="E26" s="97" t="s">
        <v>0</v>
      </c>
      <c r="F26" s="133" t="s">
        <v>0</v>
      </c>
      <c r="G26" s="134" t="s">
        <v>0</v>
      </c>
      <c r="H26" s="12"/>
      <c r="I26" s="12"/>
      <c r="J26" s="12"/>
      <c r="K26" s="12"/>
    </row>
    <row r="27" spans="2:11" ht="17.25">
      <c r="B27" s="89" t="s">
        <v>41</v>
      </c>
      <c r="C27" s="135">
        <f>+C23+C25</f>
        <v>1</v>
      </c>
      <c r="D27" s="89" t="s">
        <v>0</v>
      </c>
      <c r="E27" s="89" t="s">
        <v>0</v>
      </c>
      <c r="F27" s="136" t="s">
        <v>0</v>
      </c>
      <c r="G27" s="132">
        <f>+G23+G25</f>
        <v>6.6626480000000016E-2</v>
      </c>
      <c r="H27" s="12"/>
      <c r="I27" s="12"/>
      <c r="J27" s="12"/>
      <c r="K27" s="12"/>
    </row>
    <row r="28" spans="2:11" ht="18" thickBot="1">
      <c r="B28" s="62"/>
      <c r="C28" s="62"/>
      <c r="D28" s="62"/>
      <c r="E28" s="62"/>
      <c r="F28" s="62"/>
      <c r="G28" s="137"/>
      <c r="H28" s="12"/>
      <c r="I28" s="12"/>
      <c r="J28" s="12"/>
      <c r="K28" s="12"/>
    </row>
    <row r="29" spans="2:11" ht="18" thickBot="1">
      <c r="B29" s="12"/>
      <c r="C29" s="12"/>
      <c r="D29" s="12"/>
      <c r="E29" s="12"/>
      <c r="F29" s="181" t="s">
        <v>84</v>
      </c>
      <c r="G29" s="167">
        <v>6.6600000000000006E-2</v>
      </c>
      <c r="H29" s="12"/>
      <c r="I29" s="12"/>
      <c r="J29" s="12"/>
      <c r="K29" s="12"/>
    </row>
    <row r="30" spans="2:11" ht="18" thickBot="1">
      <c r="B30" s="12"/>
      <c r="C30" s="12"/>
      <c r="D30" s="12"/>
      <c r="E30" s="12"/>
      <c r="F30" s="136"/>
      <c r="G30" s="132"/>
      <c r="H30" s="12"/>
      <c r="I30" s="12"/>
      <c r="J30" s="12"/>
      <c r="K30" s="12"/>
    </row>
    <row r="31" spans="2:11" ht="18" thickBot="1">
      <c r="B31" s="12"/>
      <c r="C31" s="12"/>
      <c r="D31" s="12"/>
      <c r="E31" s="12"/>
      <c r="F31" s="181" t="s">
        <v>233</v>
      </c>
      <c r="G31" s="210">
        <f>1/G29</f>
        <v>15.015015015015013</v>
      </c>
      <c r="H31" s="12"/>
      <c r="I31" s="12"/>
      <c r="J31" s="12"/>
      <c r="K31" s="12"/>
    </row>
    <row r="32" spans="2:11" ht="17.25">
      <c r="B32" s="12"/>
      <c r="C32" s="12"/>
      <c r="D32" s="12"/>
      <c r="E32" s="12"/>
      <c r="F32" s="136"/>
      <c r="G32" s="132"/>
      <c r="H32" s="12"/>
      <c r="I32" s="12"/>
      <c r="J32" s="12"/>
      <c r="K32" s="12"/>
    </row>
    <row r="33" spans="1:11" ht="17.25">
      <c r="B33" s="12"/>
      <c r="C33" s="12"/>
      <c r="D33" s="12"/>
      <c r="E33" s="12"/>
      <c r="F33" s="136"/>
      <c r="G33" s="132"/>
      <c r="H33" s="12"/>
      <c r="I33" s="12"/>
      <c r="J33" s="12"/>
      <c r="K33" s="12"/>
    </row>
    <row r="34" spans="1:11" ht="26.25">
      <c r="A34" s="24" t="s">
        <v>1</v>
      </c>
      <c r="C34" s="12"/>
      <c r="D34" s="12"/>
      <c r="E34" s="12"/>
      <c r="F34" s="136"/>
      <c r="G34" s="132"/>
      <c r="H34" s="12"/>
      <c r="I34" s="12"/>
      <c r="J34" s="12"/>
      <c r="K34" s="12"/>
    </row>
    <row r="35" spans="1:11" ht="17.25">
      <c r="A35" s="25" t="s">
        <v>9</v>
      </c>
      <c r="C35" s="12"/>
      <c r="D35" s="12"/>
      <c r="E35" s="12"/>
      <c r="F35" s="136"/>
      <c r="G35" s="132"/>
      <c r="H35" s="12"/>
      <c r="I35" s="12"/>
      <c r="J35" s="12"/>
      <c r="K35" s="12"/>
    </row>
    <row r="36" spans="1:11" ht="17.25">
      <c r="A36" s="26" t="s">
        <v>479</v>
      </c>
      <c r="C36" s="12"/>
      <c r="D36" s="12"/>
      <c r="E36" s="12"/>
      <c r="F36" s="136"/>
      <c r="G36" s="132"/>
      <c r="H36" s="12"/>
      <c r="I36" s="12"/>
      <c r="J36" s="12"/>
      <c r="K36" s="12"/>
    </row>
    <row r="37" spans="1:11" ht="17.25">
      <c r="A37" s="26"/>
      <c r="C37" s="12"/>
      <c r="D37" s="12"/>
      <c r="E37" s="12"/>
      <c r="F37" s="136"/>
      <c r="G37" s="132"/>
      <c r="H37" s="12"/>
      <c r="I37" s="12"/>
      <c r="J37" s="12"/>
      <c r="K37" s="12"/>
    </row>
    <row r="38" spans="1:11" ht="17.25">
      <c r="A38" s="26"/>
      <c r="C38" s="12"/>
      <c r="D38" s="12"/>
      <c r="E38" s="12"/>
      <c r="F38" s="136"/>
      <c r="G38" s="132"/>
      <c r="H38" s="12"/>
      <c r="I38" s="12"/>
      <c r="J38" s="12"/>
      <c r="K38" s="12"/>
    </row>
    <row r="39" spans="1:11" ht="17.25">
      <c r="A39" s="26"/>
      <c r="C39" s="12"/>
      <c r="D39" s="12"/>
      <c r="E39" s="12"/>
      <c r="F39" s="136"/>
      <c r="G39" s="132"/>
      <c r="H39" s="12"/>
      <c r="I39" s="12"/>
      <c r="J39" s="12"/>
      <c r="K39" s="12"/>
    </row>
    <row r="40" spans="1:11" ht="17.25">
      <c r="A40" s="26"/>
      <c r="C40" s="12"/>
      <c r="D40" s="12"/>
      <c r="E40" s="12"/>
      <c r="F40" s="136"/>
      <c r="G40" s="132"/>
      <c r="H40" s="12"/>
      <c r="I40" s="12"/>
      <c r="J40" s="12"/>
      <c r="K40" s="12"/>
    </row>
    <row r="41" spans="1:11" ht="17.25">
      <c r="A41" s="26"/>
      <c r="C41" s="12"/>
      <c r="D41" s="12"/>
      <c r="E41" s="12"/>
      <c r="F41" s="136"/>
      <c r="G41" s="132"/>
      <c r="H41" s="12"/>
      <c r="I41" s="12"/>
      <c r="J41" s="12"/>
      <c r="K41" s="12"/>
    </row>
    <row r="42" spans="1:11" ht="17.25">
      <c r="A42" s="26"/>
      <c r="C42" s="12"/>
      <c r="D42" s="12"/>
      <c r="E42" s="12"/>
      <c r="F42" s="136"/>
      <c r="G42" s="132"/>
      <c r="H42" s="12"/>
      <c r="I42" s="12"/>
      <c r="J42" s="12"/>
      <c r="K42" s="12"/>
    </row>
    <row r="43" spans="1:11" ht="17.25">
      <c r="A43" s="26"/>
      <c r="C43" s="12"/>
      <c r="D43" s="12"/>
      <c r="E43" s="12"/>
      <c r="F43" s="136"/>
      <c r="G43" s="132"/>
      <c r="H43" s="12"/>
      <c r="I43" s="12"/>
      <c r="J43" s="12"/>
      <c r="K43" s="12"/>
    </row>
    <row r="44" spans="1:11" ht="20.25">
      <c r="A44" s="26"/>
      <c r="C44" s="12"/>
      <c r="D44" s="77" t="s">
        <v>73</v>
      </c>
      <c r="E44" s="12"/>
      <c r="F44" s="136"/>
      <c r="G44" s="132"/>
      <c r="H44" s="12"/>
      <c r="I44" s="12"/>
      <c r="J44" s="12"/>
      <c r="K44" s="12"/>
    </row>
    <row r="45" spans="1:11" ht="20.25">
      <c r="A45" s="26"/>
      <c r="C45" s="12"/>
      <c r="D45" s="77"/>
      <c r="E45" s="12"/>
      <c r="F45" s="136"/>
      <c r="G45" s="132"/>
      <c r="H45" s="12"/>
      <c r="I45" s="12"/>
      <c r="J45" s="12"/>
      <c r="K45" s="12"/>
    </row>
    <row r="46" spans="1:11" ht="20.25">
      <c r="A46" s="26"/>
      <c r="C46" s="12"/>
      <c r="D46" s="77"/>
      <c r="E46" s="12"/>
      <c r="F46" s="136"/>
      <c r="G46" s="132"/>
      <c r="H46" s="12"/>
      <c r="I46" s="12"/>
      <c r="J46" s="12"/>
      <c r="K46" s="12"/>
    </row>
    <row r="47" spans="1:11" ht="17.25" thickBot="1">
      <c r="B47" s="12"/>
      <c r="C47" s="29"/>
      <c r="D47" s="29"/>
      <c r="E47" s="29"/>
      <c r="F47" s="12"/>
      <c r="G47" s="12"/>
      <c r="H47" s="12"/>
      <c r="I47" s="12"/>
      <c r="J47" s="12"/>
      <c r="K47" s="12"/>
    </row>
    <row r="48" spans="1:11" ht="26.25">
      <c r="B48" s="12"/>
      <c r="C48" s="12"/>
      <c r="D48" s="31" t="str">
        <f>+'S&amp;D'!A12</f>
        <v>Electric Wholesale (non-regulated) Power Generator</v>
      </c>
      <c r="E48" s="12"/>
      <c r="F48" s="12"/>
      <c r="G48" s="12"/>
      <c r="H48" s="12"/>
      <c r="I48" s="12"/>
      <c r="J48" s="12"/>
      <c r="K48" s="12"/>
    </row>
    <row r="49" spans="2:11" ht="21" thickBot="1">
      <c r="B49" s="12"/>
      <c r="C49" s="29"/>
      <c r="D49" s="130" t="s">
        <v>75</v>
      </c>
      <c r="E49" s="29"/>
      <c r="F49" s="12"/>
      <c r="G49" s="12"/>
      <c r="H49" s="12"/>
      <c r="I49" s="12"/>
      <c r="J49" s="12"/>
      <c r="K49" s="12"/>
    </row>
    <row r="50" spans="2:11" ht="16.5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 ht="17.25" thickBot="1">
      <c r="B51" s="29"/>
      <c r="C51" s="29"/>
      <c r="D51" s="36" t="s">
        <v>0</v>
      </c>
      <c r="E51" s="29"/>
      <c r="F51" s="29"/>
      <c r="G51" s="29"/>
      <c r="H51" s="12"/>
      <c r="I51" s="12"/>
      <c r="J51" s="12"/>
      <c r="K51" s="12"/>
    </row>
    <row r="52" spans="2:11" ht="16.5">
      <c r="B52" s="34" t="s">
        <v>31</v>
      </c>
      <c r="C52" s="34" t="s">
        <v>32</v>
      </c>
      <c r="D52" s="34" t="s">
        <v>77</v>
      </c>
      <c r="E52" s="34" t="s">
        <v>78</v>
      </c>
      <c r="F52" s="34" t="s">
        <v>76</v>
      </c>
      <c r="G52" s="34" t="s">
        <v>34</v>
      </c>
      <c r="H52" s="12"/>
      <c r="I52" s="12"/>
      <c r="J52" s="12"/>
      <c r="K52" s="12"/>
    </row>
    <row r="53" spans="2:11" ht="17.25" thickBot="1">
      <c r="B53" s="36" t="s">
        <v>32</v>
      </c>
      <c r="C53" s="36" t="s">
        <v>35</v>
      </c>
      <c r="D53" s="36" t="s">
        <v>36</v>
      </c>
      <c r="E53" s="36" t="s">
        <v>23</v>
      </c>
      <c r="F53" s="36" t="s">
        <v>37</v>
      </c>
      <c r="G53" s="36" t="s">
        <v>79</v>
      </c>
      <c r="H53" s="12"/>
      <c r="I53" s="12"/>
      <c r="J53" s="12"/>
      <c r="K53" s="12"/>
    </row>
    <row r="54" spans="2:11" ht="16.5">
      <c r="B54" s="38" t="s">
        <v>0</v>
      </c>
      <c r="C54" s="38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12"/>
      <c r="I54" s="12"/>
      <c r="J54" s="12"/>
      <c r="K54" s="12"/>
    </row>
    <row r="55" spans="2:11" ht="16.5">
      <c r="B55" s="34"/>
      <c r="C55" s="34"/>
      <c r="D55" s="34"/>
      <c r="E55" s="34"/>
      <c r="F55" s="34"/>
      <c r="G55" s="34"/>
      <c r="H55" s="12"/>
      <c r="I55" s="12"/>
      <c r="J55" s="12"/>
      <c r="K55" s="12"/>
    </row>
    <row r="56" spans="2:11" ht="17.25">
      <c r="B56" s="89" t="s">
        <v>39</v>
      </c>
      <c r="C56" s="131">
        <f>'S&amp;D'!J50</f>
        <v>0.62</v>
      </c>
      <c r="D56" s="131">
        <f>+'Direct GCF'!M32</f>
        <v>0.15</v>
      </c>
      <c r="E56" s="103"/>
      <c r="F56" s="131">
        <f>+D56</f>
        <v>0.15</v>
      </c>
      <c r="G56" s="132">
        <f>+F56*C56</f>
        <v>9.2999999999999999E-2</v>
      </c>
      <c r="H56" s="12"/>
      <c r="I56" s="12"/>
      <c r="J56" s="12"/>
      <c r="K56" s="12"/>
    </row>
    <row r="57" spans="2:11" ht="17.25">
      <c r="B57" s="89" t="s">
        <v>0</v>
      </c>
      <c r="C57" s="103" t="s">
        <v>0</v>
      </c>
      <c r="D57" s="103" t="s">
        <v>0</v>
      </c>
      <c r="E57" s="103" t="s">
        <v>0</v>
      </c>
      <c r="F57" s="464" t="s">
        <v>0</v>
      </c>
      <c r="G57" s="120" t="s">
        <v>0</v>
      </c>
      <c r="H57" s="12"/>
      <c r="I57" s="12"/>
      <c r="J57" s="12"/>
      <c r="K57" s="12"/>
    </row>
    <row r="58" spans="2:11" ht="17.25">
      <c r="B58" s="89" t="s">
        <v>40</v>
      </c>
      <c r="C58" s="131">
        <f>'S&amp;D'!K50</f>
        <v>0.38</v>
      </c>
      <c r="D58" s="131">
        <f>+Debt!J29</f>
        <v>6.54E-2</v>
      </c>
      <c r="E58" s="131">
        <v>0.26</v>
      </c>
      <c r="F58" s="131">
        <f>+D58*(1-E58)</f>
        <v>4.8396000000000002E-2</v>
      </c>
      <c r="G58" s="132">
        <f>+C58*F58</f>
        <v>1.8390480000000001E-2</v>
      </c>
      <c r="H58" s="12"/>
      <c r="I58" s="12"/>
      <c r="J58" s="12"/>
      <c r="K58" s="12"/>
    </row>
    <row r="59" spans="2:11" ht="18" thickBot="1">
      <c r="B59" s="97" t="s">
        <v>0</v>
      </c>
      <c r="C59" s="97" t="s">
        <v>0</v>
      </c>
      <c r="D59" s="97" t="s">
        <v>0</v>
      </c>
      <c r="E59" s="97" t="s">
        <v>0</v>
      </c>
      <c r="F59" s="133" t="s">
        <v>0</v>
      </c>
      <c r="G59" s="134" t="s">
        <v>0</v>
      </c>
      <c r="H59" s="12"/>
      <c r="I59" s="12"/>
      <c r="J59" s="12"/>
      <c r="K59" s="12"/>
    </row>
    <row r="60" spans="2:11" ht="17.25">
      <c r="B60" s="89" t="s">
        <v>41</v>
      </c>
      <c r="C60" s="135">
        <f>+C56+C58</f>
        <v>1</v>
      </c>
      <c r="D60" s="89" t="s">
        <v>0</v>
      </c>
      <c r="E60" s="89" t="s">
        <v>0</v>
      </c>
      <c r="F60" s="136" t="s">
        <v>0</v>
      </c>
      <c r="G60" s="132">
        <f>+G56+G58</f>
        <v>0.11139048</v>
      </c>
      <c r="H60" s="12"/>
      <c r="I60" s="12"/>
      <c r="J60" s="12"/>
      <c r="K60" s="12"/>
    </row>
    <row r="61" spans="2:11" ht="18" thickBot="1">
      <c r="B61" s="62"/>
      <c r="C61" s="62"/>
      <c r="D61" s="62"/>
      <c r="E61" s="62"/>
      <c r="F61" s="62"/>
      <c r="G61" s="137"/>
      <c r="H61" s="12"/>
      <c r="I61" s="12"/>
      <c r="J61" s="12"/>
      <c r="K61" s="12"/>
    </row>
    <row r="62" spans="2:11" ht="18" thickBot="1">
      <c r="B62" s="12"/>
      <c r="C62" s="12"/>
      <c r="D62" s="12"/>
      <c r="E62" s="12"/>
      <c r="F62" s="181" t="s">
        <v>84</v>
      </c>
      <c r="G62" s="167">
        <v>0.1114</v>
      </c>
      <c r="H62" s="12"/>
      <c r="I62" s="12"/>
      <c r="J62" s="12"/>
      <c r="K62" s="12"/>
    </row>
    <row r="63" spans="2:11" ht="15.75" thickBot="1"/>
    <row r="64" spans="2:11" ht="18" thickBot="1">
      <c r="F64" s="181" t="s">
        <v>233</v>
      </c>
      <c r="G64" s="210">
        <f>1/G62</f>
        <v>8.9766606822262123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89"/>
  <sheetViews>
    <sheetView view="pageBreakPreview" zoomScale="80" zoomScaleNormal="80" zoomScaleSheetLayoutView="80" zoomScalePageLayoutView="70" workbookViewId="0">
      <pane xSplit="1" topLeftCell="C1" activePane="topRight" state="frozen"/>
      <selection activeCell="B39" sqref="B39"/>
      <selection pane="topRight" activeCell="F4" sqref="F4:F5"/>
    </sheetView>
  </sheetViews>
  <sheetFormatPr defaultRowHeight="15"/>
  <cols>
    <col min="1" max="1" width="68.7109375" customWidth="1"/>
    <col min="2" max="2" width="11.5703125" bestFit="1" customWidth="1"/>
    <col min="3" max="3" width="23.7109375" customWidth="1"/>
    <col min="4" max="4" width="25.5703125" bestFit="1" customWidth="1"/>
    <col min="5" max="5" width="28" customWidth="1"/>
    <col min="6" max="6" width="25.7109375" customWidth="1"/>
    <col min="7" max="7" width="26.42578125" customWidth="1"/>
    <col min="8" max="8" width="31.85546875" customWidth="1"/>
    <col min="9" max="9" width="31.5703125" customWidth="1"/>
    <col min="10" max="10" width="30.85546875" customWidth="1"/>
    <col min="11" max="11" width="31.42578125" customWidth="1"/>
    <col min="12" max="12" width="25.85546875" bestFit="1" customWidth="1"/>
    <col min="13" max="13" width="30.140625" bestFit="1" customWidth="1"/>
    <col min="14" max="14" width="9.140625" customWidth="1"/>
  </cols>
  <sheetData>
    <row r="1" spans="1:12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17.25">
      <c r="A2" s="25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ht="16.5">
      <c r="A4" s="26"/>
      <c r="B4" s="12"/>
      <c r="C4" s="12"/>
      <c r="D4" s="12"/>
      <c r="E4" s="12"/>
      <c r="F4" s="466" t="s">
        <v>0</v>
      </c>
      <c r="G4" s="12"/>
      <c r="H4" s="12"/>
      <c r="I4" s="12"/>
      <c r="J4" s="12"/>
      <c r="K4" s="12"/>
    </row>
    <row r="5" spans="1:12" ht="16.5">
      <c r="B5" s="12"/>
      <c r="C5" s="12"/>
      <c r="D5" s="12"/>
      <c r="E5" s="27"/>
      <c r="F5" s="466" t="s">
        <v>0</v>
      </c>
      <c r="G5" s="12"/>
      <c r="H5" s="12"/>
      <c r="I5" s="12"/>
      <c r="J5" s="12"/>
      <c r="K5" s="12" t="s">
        <v>0</v>
      </c>
    </row>
    <row r="6" spans="1:12" ht="16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2" ht="16.5">
      <c r="A7" s="12"/>
      <c r="B7" s="34"/>
      <c r="C7" s="34"/>
      <c r="D7" s="34"/>
      <c r="E7" s="34"/>
      <c r="F7" s="34"/>
      <c r="G7" s="14"/>
      <c r="H7" s="43"/>
      <c r="I7" s="43"/>
      <c r="J7" s="84"/>
      <c r="K7" s="84"/>
      <c r="L7" s="3"/>
    </row>
    <row r="8" spans="1:12" ht="16.5">
      <c r="A8" s="85"/>
      <c r="B8" s="34"/>
      <c r="C8" s="34"/>
      <c r="D8" s="34"/>
      <c r="E8" s="34"/>
      <c r="F8" s="34"/>
      <c r="G8" s="14"/>
      <c r="H8" s="43"/>
      <c r="I8" s="43"/>
      <c r="J8" s="84"/>
      <c r="K8" s="84"/>
      <c r="L8" s="3"/>
    </row>
    <row r="9" spans="1:12" ht="16.5">
      <c r="A9" s="85"/>
      <c r="B9" s="34"/>
      <c r="C9" s="34"/>
      <c r="D9" s="34"/>
      <c r="E9" s="34"/>
      <c r="F9" s="34"/>
      <c r="G9" s="14"/>
      <c r="H9" s="43"/>
      <c r="I9" s="43"/>
      <c r="J9" s="84"/>
      <c r="K9" s="84"/>
      <c r="L9" s="3"/>
    </row>
    <row r="10" spans="1:12" ht="16.5">
      <c r="A10" s="43"/>
      <c r="D10" s="43"/>
      <c r="E10" s="43"/>
      <c r="F10" s="43"/>
      <c r="G10" s="43"/>
      <c r="H10" s="43"/>
      <c r="I10" s="43"/>
      <c r="J10" s="43"/>
      <c r="K10" s="43"/>
      <c r="L10" s="2"/>
    </row>
    <row r="11" spans="1:12" ht="17.25" thickBot="1">
      <c r="A11" s="43"/>
      <c r="D11" s="43"/>
      <c r="E11" s="86"/>
      <c r="F11" s="29"/>
      <c r="G11" s="86"/>
      <c r="H11" s="43"/>
      <c r="I11" s="43"/>
      <c r="J11" s="43"/>
      <c r="K11" s="43"/>
      <c r="L11" s="2"/>
    </row>
    <row r="12" spans="1:12" ht="27" thickBot="1">
      <c r="A12" s="28" t="s">
        <v>381</v>
      </c>
      <c r="D12" s="43"/>
      <c r="E12" s="43"/>
      <c r="F12" s="31" t="s">
        <v>85</v>
      </c>
      <c r="G12" s="43"/>
      <c r="H12" s="43"/>
      <c r="I12" s="43"/>
      <c r="J12" s="43"/>
      <c r="K12" s="12"/>
    </row>
    <row r="13" spans="1:12" ht="21" thickBot="1">
      <c r="A13" s="30"/>
      <c r="D13" s="43"/>
      <c r="E13" s="86"/>
      <c r="F13" s="36" t="s">
        <v>492</v>
      </c>
      <c r="G13" s="86"/>
      <c r="H13" s="43"/>
      <c r="I13" s="43"/>
      <c r="J13" s="43" t="s">
        <v>0</v>
      </c>
      <c r="K13" s="12"/>
    </row>
    <row r="14" spans="1:12" ht="20.25">
      <c r="A14" s="30"/>
      <c r="B14" s="43"/>
      <c r="C14" s="43"/>
      <c r="D14" s="43"/>
      <c r="E14" s="43"/>
      <c r="F14" s="13" t="s">
        <v>0</v>
      </c>
      <c r="G14" s="43"/>
      <c r="H14" s="43"/>
      <c r="I14" s="43"/>
      <c r="J14" s="43"/>
      <c r="K14" s="12"/>
    </row>
    <row r="15" spans="1:12" ht="17.25" thickBot="1">
      <c r="A15" s="41" t="s">
        <v>0</v>
      </c>
      <c r="B15" s="41" t="s">
        <v>0</v>
      </c>
      <c r="C15" s="41" t="s">
        <v>0</v>
      </c>
      <c r="D15" s="41"/>
      <c r="E15" s="41"/>
      <c r="F15" s="41"/>
      <c r="G15" s="41" t="s">
        <v>0</v>
      </c>
      <c r="H15" s="86"/>
      <c r="I15" s="86"/>
      <c r="J15" s="86"/>
      <c r="K15" s="12"/>
    </row>
    <row r="16" spans="1:12" ht="17.25">
      <c r="A16" s="87"/>
      <c r="B16" s="88"/>
      <c r="C16" s="226"/>
      <c r="D16" s="90" t="s">
        <v>13</v>
      </c>
      <c r="E16" s="91" t="s">
        <v>13</v>
      </c>
      <c r="F16" s="90" t="s">
        <v>13</v>
      </c>
      <c r="G16" s="225" t="s">
        <v>242</v>
      </c>
      <c r="H16" s="348" t="s">
        <v>493</v>
      </c>
      <c r="I16" s="348" t="s">
        <v>493</v>
      </c>
      <c r="J16" s="348" t="s">
        <v>493</v>
      </c>
      <c r="K16" s="12"/>
    </row>
    <row r="17" spans="1:13" ht="17.25">
      <c r="A17" s="87" t="s">
        <v>0</v>
      </c>
      <c r="B17" s="88" t="s">
        <v>3</v>
      </c>
      <c r="C17" s="88" t="s">
        <v>5</v>
      </c>
      <c r="D17" s="90" t="s">
        <v>10</v>
      </c>
      <c r="E17" s="91" t="s">
        <v>10</v>
      </c>
      <c r="F17" s="90" t="s">
        <v>19</v>
      </c>
      <c r="G17" s="345" t="s">
        <v>493</v>
      </c>
      <c r="H17" s="88" t="s">
        <v>12</v>
      </c>
      <c r="I17" s="93" t="s">
        <v>11</v>
      </c>
      <c r="J17" s="94" t="s">
        <v>153</v>
      </c>
      <c r="K17" s="12"/>
    </row>
    <row r="18" spans="1:13" ht="17.25">
      <c r="A18" s="87" t="s">
        <v>2</v>
      </c>
      <c r="B18" s="88" t="s">
        <v>4</v>
      </c>
      <c r="C18" s="88" t="s">
        <v>6</v>
      </c>
      <c r="D18" s="90" t="s">
        <v>51</v>
      </c>
      <c r="E18" s="91" t="s">
        <v>52</v>
      </c>
      <c r="F18" s="90" t="s">
        <v>10</v>
      </c>
      <c r="G18" s="345" t="s">
        <v>10</v>
      </c>
      <c r="H18" s="88" t="s">
        <v>83</v>
      </c>
      <c r="I18" s="349"/>
      <c r="J18" s="94" t="s">
        <v>434</v>
      </c>
      <c r="K18" s="12" t="s">
        <v>0</v>
      </c>
    </row>
    <row r="19" spans="1:13" ht="18" thickBot="1">
      <c r="A19" s="95" t="s">
        <v>0</v>
      </c>
      <c r="B19" s="96" t="s">
        <v>0</v>
      </c>
      <c r="C19" s="96" t="s">
        <v>0</v>
      </c>
      <c r="D19" s="96" t="s">
        <v>0</v>
      </c>
      <c r="E19" s="97" t="s">
        <v>0</v>
      </c>
      <c r="F19" s="96" t="s">
        <v>0</v>
      </c>
      <c r="G19" s="95" t="s">
        <v>0</v>
      </c>
      <c r="H19" s="98" t="s">
        <v>72</v>
      </c>
      <c r="I19" s="98" t="s">
        <v>71</v>
      </c>
      <c r="J19" s="98" t="s">
        <v>71</v>
      </c>
      <c r="K19" s="12" t="s">
        <v>0</v>
      </c>
    </row>
    <row r="20" spans="1:13" ht="16.5">
      <c r="A20" s="99" t="s">
        <v>7</v>
      </c>
      <c r="B20" s="100" t="s">
        <v>7</v>
      </c>
      <c r="C20" s="100" t="s">
        <v>7</v>
      </c>
      <c r="D20" s="100" t="s">
        <v>7</v>
      </c>
      <c r="E20" s="42" t="s">
        <v>7</v>
      </c>
      <c r="F20" s="100" t="s">
        <v>15</v>
      </c>
      <c r="G20" s="99" t="s">
        <v>7</v>
      </c>
      <c r="H20" s="100" t="s">
        <v>8</v>
      </c>
      <c r="I20" s="100" t="s">
        <v>8</v>
      </c>
      <c r="J20" s="100" t="s">
        <v>8</v>
      </c>
      <c r="K20" s="12"/>
    </row>
    <row r="21" spans="1:13" ht="17.25">
      <c r="A21" s="87"/>
      <c r="B21" s="88"/>
      <c r="C21" s="88"/>
      <c r="D21" s="88"/>
      <c r="E21" s="89"/>
      <c r="F21" s="88"/>
      <c r="G21" s="87"/>
      <c r="H21" s="88"/>
      <c r="I21" s="101"/>
      <c r="J21" s="101"/>
      <c r="K21" s="12"/>
    </row>
    <row r="22" spans="1:13" ht="17.25">
      <c r="A22" s="102" t="s">
        <v>352</v>
      </c>
      <c r="B22" s="79" t="s">
        <v>353</v>
      </c>
      <c r="C22" s="89" t="s">
        <v>415</v>
      </c>
      <c r="D22" s="104">
        <v>12.68</v>
      </c>
      <c r="E22" s="59">
        <v>7.64</v>
      </c>
      <c r="F22" s="104">
        <f>AVERAGE(D22,E22)</f>
        <v>10.16</v>
      </c>
      <c r="G22" s="346">
        <v>9.42</v>
      </c>
      <c r="H22" s="280">
        <v>712201777</v>
      </c>
      <c r="I22" s="419"/>
      <c r="J22" s="280">
        <f>5105000000+21681000000+879000000+2223000000</f>
        <v>29888000000</v>
      </c>
      <c r="K22" s="12" t="s">
        <v>0</v>
      </c>
    </row>
    <row r="23" spans="1:13" ht="17.25">
      <c r="A23" s="105" t="s">
        <v>354</v>
      </c>
      <c r="B23" s="79" t="s">
        <v>101</v>
      </c>
      <c r="C23" s="89" t="s">
        <v>414</v>
      </c>
      <c r="D23" s="104">
        <v>62.87</v>
      </c>
      <c r="E23" s="59">
        <v>55.18</v>
      </c>
      <c r="F23" s="104">
        <f t="shared" ref="F23:F28" si="0">AVERAGE(D23,E23)</f>
        <v>59.024999999999999</v>
      </c>
      <c r="G23" s="346">
        <v>58.59</v>
      </c>
      <c r="H23" s="280">
        <v>879000000</v>
      </c>
      <c r="I23" s="280">
        <v>991000000</v>
      </c>
      <c r="J23" s="280">
        <f>36778000000</f>
        <v>36778000000</v>
      </c>
      <c r="K23" s="352" t="s">
        <v>0</v>
      </c>
      <c r="L23" s="4" t="s">
        <v>0</v>
      </c>
    </row>
    <row r="24" spans="1:13" ht="17.25">
      <c r="A24" s="105" t="s">
        <v>429</v>
      </c>
      <c r="B24" s="79" t="s">
        <v>426</v>
      </c>
      <c r="C24" s="89" t="s">
        <v>415</v>
      </c>
      <c r="D24" s="104">
        <v>412.7</v>
      </c>
      <c r="E24" s="59">
        <v>326.83</v>
      </c>
      <c r="F24" s="104">
        <f t="shared" si="0"/>
        <v>369.76499999999999</v>
      </c>
      <c r="G24" s="346">
        <v>353.27</v>
      </c>
      <c r="H24" s="280">
        <v>312000000</v>
      </c>
      <c r="I24" s="419"/>
      <c r="J24" s="280">
        <f>92000000+7250000000</f>
        <v>7342000000</v>
      </c>
    </row>
    <row r="25" spans="1:13" ht="17.25">
      <c r="A25" s="354" t="s">
        <v>365</v>
      </c>
      <c r="B25" s="79" t="s">
        <v>364</v>
      </c>
      <c r="C25" s="89" t="s">
        <v>414</v>
      </c>
      <c r="D25" s="104">
        <v>87.53</v>
      </c>
      <c r="E25" s="59">
        <v>79.5</v>
      </c>
      <c r="F25" s="104">
        <f>AVERAGE(D25,E25)</f>
        <v>83.515000000000001</v>
      </c>
      <c r="G25" s="346">
        <v>80.28</v>
      </c>
      <c r="H25" s="280">
        <v>2057000000</v>
      </c>
      <c r="I25" s="419"/>
      <c r="J25" s="280">
        <f>72385000000+8061000000</f>
        <v>80446000000</v>
      </c>
    </row>
    <row r="26" spans="1:13" ht="17.25">
      <c r="A26" s="105" t="s">
        <v>355</v>
      </c>
      <c r="B26" s="79" t="s">
        <v>356</v>
      </c>
      <c r="C26" s="89" t="s">
        <v>415</v>
      </c>
      <c r="D26" s="104">
        <v>180.54</v>
      </c>
      <c r="E26" s="59">
        <v>141.91</v>
      </c>
      <c r="F26" s="104">
        <f t="shared" si="0"/>
        <v>161.22499999999999</v>
      </c>
      <c r="G26" s="346">
        <v>159.24</v>
      </c>
      <c r="H26" s="280">
        <v>190376607</v>
      </c>
      <c r="I26" s="280">
        <v>650000000</v>
      </c>
      <c r="J26" s="280">
        <f>16412000000+31000000</f>
        <v>16443000000</v>
      </c>
      <c r="K26" s="12"/>
    </row>
    <row r="27" spans="1:13" ht="17.25">
      <c r="A27" s="105" t="s">
        <v>357</v>
      </c>
      <c r="B27" s="79" t="s">
        <v>53</v>
      </c>
      <c r="C27" s="89" t="s">
        <v>414</v>
      </c>
      <c r="D27" s="104">
        <v>100.84</v>
      </c>
      <c r="E27" s="59">
        <v>83.8</v>
      </c>
      <c r="F27" s="104">
        <f t="shared" si="0"/>
        <v>92.32</v>
      </c>
      <c r="G27" s="446">
        <v>87.2</v>
      </c>
      <c r="H27" s="280">
        <f>1100000000-1000000</f>
        <v>1099000000</v>
      </c>
      <c r="I27" s="280"/>
      <c r="J27" s="280">
        <f>65649000000</f>
        <v>65649000000</v>
      </c>
      <c r="L27" t="s">
        <v>0</v>
      </c>
    </row>
    <row r="28" spans="1:13" ht="18" thickBot="1">
      <c r="A28" s="106" t="s">
        <v>358</v>
      </c>
      <c r="B28" s="80" t="s">
        <v>359</v>
      </c>
      <c r="C28" s="96" t="s">
        <v>415</v>
      </c>
      <c r="D28" s="281">
        <v>217.1</v>
      </c>
      <c r="E28" s="282">
        <v>158.65</v>
      </c>
      <c r="F28" s="281">
        <f t="shared" si="0"/>
        <v>187.875</v>
      </c>
      <c r="G28" s="347">
        <v>161.33000000000001</v>
      </c>
      <c r="H28" s="283">
        <v>338059635</v>
      </c>
      <c r="I28" s="283">
        <v>2476000000</v>
      </c>
      <c r="J28" s="283">
        <f>1201000000+15842000000</f>
        <v>17043000000</v>
      </c>
      <c r="K28" s="12"/>
      <c r="M28" s="10" t="s">
        <v>0</v>
      </c>
    </row>
    <row r="29" spans="1:13" ht="17.25">
      <c r="A29" s="108"/>
      <c r="B29" s="108"/>
      <c r="C29" s="108"/>
      <c r="D29" s="108"/>
      <c r="E29" s="108"/>
      <c r="F29" s="108"/>
      <c r="G29" s="108"/>
      <c r="H29" s="294" t="s">
        <v>0</v>
      </c>
      <c r="I29" s="108" t="s">
        <v>0</v>
      </c>
      <c r="J29" s="108"/>
      <c r="K29" s="12" t="s">
        <v>0</v>
      </c>
    </row>
    <row r="30" spans="1:13" ht="17.25">
      <c r="A30" s="108"/>
      <c r="B30" s="108"/>
      <c r="C30" s="108"/>
      <c r="D30" s="108"/>
      <c r="E30" s="108"/>
      <c r="F30" s="108"/>
      <c r="G30" s="108"/>
      <c r="H30" s="108"/>
      <c r="I30" s="108" t="s">
        <v>0</v>
      </c>
      <c r="J30" s="108" t="s">
        <v>0</v>
      </c>
      <c r="K30" s="12" t="s">
        <v>0</v>
      </c>
    </row>
    <row r="31" spans="1:13" ht="18" thickBot="1">
      <c r="A31" s="465" t="s">
        <v>0</v>
      </c>
      <c r="B31" s="109"/>
      <c r="C31" s="109"/>
      <c r="D31" s="109"/>
      <c r="E31" s="109"/>
      <c r="F31" s="29"/>
      <c r="G31" s="109"/>
      <c r="H31" s="109"/>
      <c r="I31" s="109"/>
      <c r="J31" s="108"/>
      <c r="K31" s="108"/>
      <c r="L31" s="4"/>
    </row>
    <row r="32" spans="1:13" ht="17.25">
      <c r="A32" s="110"/>
      <c r="B32" s="356"/>
      <c r="C32" s="356"/>
      <c r="D32" s="356"/>
      <c r="E32" s="348" t="s">
        <v>0</v>
      </c>
      <c r="F32" s="348" t="s">
        <v>0</v>
      </c>
      <c r="G32" s="362"/>
      <c r="H32" s="191"/>
      <c r="I32" s="111"/>
      <c r="J32" s="110"/>
      <c r="K32" s="356"/>
      <c r="L32" s="4"/>
    </row>
    <row r="33" spans="1:12" ht="17.25">
      <c r="A33" s="87"/>
      <c r="B33" s="88"/>
      <c r="C33" s="88"/>
      <c r="D33" s="357" t="s">
        <v>493</v>
      </c>
      <c r="E33" s="357" t="s">
        <v>493</v>
      </c>
      <c r="F33" s="357" t="s">
        <v>493</v>
      </c>
      <c r="G33" s="357" t="s">
        <v>493</v>
      </c>
      <c r="H33" s="357" t="s">
        <v>493</v>
      </c>
      <c r="I33" s="92" t="s">
        <v>493</v>
      </c>
      <c r="J33" s="345" t="s">
        <v>493</v>
      </c>
      <c r="K33" s="357" t="s">
        <v>493</v>
      </c>
      <c r="L33" s="5"/>
    </row>
    <row r="34" spans="1:12" ht="17.25">
      <c r="A34" s="87" t="s">
        <v>0</v>
      </c>
      <c r="B34" s="88" t="s">
        <v>3</v>
      </c>
      <c r="C34" s="88" t="s">
        <v>5</v>
      </c>
      <c r="D34" s="88" t="s">
        <v>12</v>
      </c>
      <c r="E34" s="94" t="s">
        <v>152</v>
      </c>
      <c r="F34" s="94" t="s">
        <v>278</v>
      </c>
      <c r="G34" s="94" t="s">
        <v>360</v>
      </c>
      <c r="H34" s="88" t="s">
        <v>210</v>
      </c>
      <c r="I34" s="103" t="s">
        <v>16</v>
      </c>
      <c r="J34" s="284" t="s">
        <v>17</v>
      </c>
      <c r="K34" s="94" t="s">
        <v>58</v>
      </c>
      <c r="L34" s="5"/>
    </row>
    <row r="35" spans="1:12" ht="18" thickBot="1">
      <c r="A35" s="95" t="s">
        <v>2</v>
      </c>
      <c r="B35" s="96" t="s">
        <v>4</v>
      </c>
      <c r="C35" s="96" t="s">
        <v>6</v>
      </c>
      <c r="D35" s="96" t="s">
        <v>14</v>
      </c>
      <c r="E35" s="96" t="s">
        <v>14</v>
      </c>
      <c r="F35" s="96" t="s">
        <v>291</v>
      </c>
      <c r="G35" s="96" t="s">
        <v>291</v>
      </c>
      <c r="H35" s="96" t="s">
        <v>14</v>
      </c>
      <c r="I35" s="97" t="s">
        <v>433</v>
      </c>
      <c r="J35" s="95" t="s">
        <v>0</v>
      </c>
      <c r="K35" s="96" t="s">
        <v>361</v>
      </c>
      <c r="L35" s="1"/>
    </row>
    <row r="36" spans="1:12" ht="15.75">
      <c r="A36" s="242" t="s">
        <v>7</v>
      </c>
      <c r="B36" s="243" t="s">
        <v>7</v>
      </c>
      <c r="C36" s="243" t="s">
        <v>7</v>
      </c>
      <c r="D36" s="243" t="s">
        <v>15</v>
      </c>
      <c r="E36" s="243" t="s">
        <v>8</v>
      </c>
      <c r="F36" s="243" t="s">
        <v>8</v>
      </c>
      <c r="G36" s="243" t="s">
        <v>8</v>
      </c>
      <c r="H36" s="243" t="s">
        <v>8</v>
      </c>
      <c r="I36" s="276" t="s">
        <v>15</v>
      </c>
      <c r="J36" s="242" t="s">
        <v>15</v>
      </c>
      <c r="K36" s="243" t="s">
        <v>15</v>
      </c>
      <c r="L36" s="5"/>
    </row>
    <row r="37" spans="1:12" ht="17.25">
      <c r="A37" s="87"/>
      <c r="B37" s="88"/>
      <c r="C37" s="88"/>
      <c r="D37" s="360"/>
      <c r="E37" s="360"/>
      <c r="F37" s="360"/>
      <c r="G37" s="360"/>
      <c r="H37" s="360"/>
      <c r="I37" s="62"/>
      <c r="J37" s="102"/>
      <c r="K37" s="101"/>
      <c r="L37" s="4"/>
    </row>
    <row r="38" spans="1:12" ht="17.25">
      <c r="A38" s="102" t="str">
        <f t="shared" ref="A38:C44" si="1">+A22</f>
        <v>AES CORPORATION</v>
      </c>
      <c r="B38" s="88" t="str">
        <f t="shared" si="1"/>
        <v>AES</v>
      </c>
      <c r="C38" s="88" t="str">
        <f t="shared" si="1"/>
        <v>Power Electric</v>
      </c>
      <c r="D38" s="361">
        <f t="shared" ref="D38:D43" si="2">(+H22)*G22</f>
        <v>6708940739.3400002</v>
      </c>
      <c r="E38" s="361">
        <f>(1/1)*I22</f>
        <v>0</v>
      </c>
      <c r="F38" s="361">
        <v>1165000000</v>
      </c>
      <c r="G38" s="361">
        <v>735000000</v>
      </c>
      <c r="H38" s="361">
        <f>((23066+4538)/(22743+5704))*J22</f>
        <v>29002297324.84972</v>
      </c>
      <c r="I38" s="277">
        <f>+D38+E38+F38+G38+H38</f>
        <v>37611238064.18972</v>
      </c>
      <c r="J38" s="285">
        <f>(+D38)/I38</f>
        <v>0.17837596113933013</v>
      </c>
      <c r="K38" s="358">
        <f>(+E38+F38+G38+H38)/I38</f>
        <v>0.82162403886066981</v>
      </c>
      <c r="L38" s="4"/>
    </row>
    <row r="39" spans="1:12" ht="17.25">
      <c r="A39" s="105" t="str">
        <f t="shared" si="1"/>
        <v>DOMINION ENERGY INC</v>
      </c>
      <c r="B39" s="88" t="str">
        <f t="shared" si="1"/>
        <v>D</v>
      </c>
      <c r="C39" s="88" t="str">
        <f t="shared" si="1"/>
        <v>Electric - East</v>
      </c>
      <c r="D39" s="361">
        <f t="shared" si="2"/>
        <v>51500610000</v>
      </c>
      <c r="E39" s="361">
        <f>(194.8/200)*I23</f>
        <v>965234000.00000012</v>
      </c>
      <c r="F39" s="361">
        <f>39000000+697000000</f>
        <v>736000000</v>
      </c>
      <c r="G39" s="361">
        <f>119000000+436000000</f>
        <v>555000000</v>
      </c>
      <c r="H39" s="361">
        <f>(37481/38897)*J23</f>
        <v>35439139727.999588</v>
      </c>
      <c r="I39" s="277">
        <f t="shared" ref="I39:I42" si="3">+D39+E39+F39+G39+H39</f>
        <v>89195983727.999588</v>
      </c>
      <c r="J39" s="285">
        <f t="shared" ref="J39:J44" si="4">(+D39)/I39</f>
        <v>0.57738709578056258</v>
      </c>
      <c r="K39" s="358">
        <f t="shared" ref="K39:K42" si="5">(+E39+F39+G39+H39)/I39</f>
        <v>0.42261290421943742</v>
      </c>
      <c r="L39" s="4"/>
    </row>
    <row r="40" spans="1:12" ht="17.25">
      <c r="A40" s="105" t="str">
        <f t="shared" si="1"/>
        <v>CONSTELLATION ENERGY GENERATION LLC</v>
      </c>
      <c r="B40" s="88" t="str">
        <f t="shared" si="1"/>
        <v>CEG</v>
      </c>
      <c r="C40" s="88" t="str">
        <f t="shared" si="1"/>
        <v>Power Electric</v>
      </c>
      <c r="D40" s="361">
        <f>(+H24)*G24</f>
        <v>110220240000</v>
      </c>
      <c r="E40" s="361">
        <f>(1/1)*I24</f>
        <v>0</v>
      </c>
      <c r="F40" s="361">
        <v>505000000</v>
      </c>
      <c r="G40" s="361"/>
      <c r="H40" s="361">
        <f>(7661/7342)*J24</f>
        <v>7661000000</v>
      </c>
      <c r="I40" s="277">
        <f t="shared" si="3"/>
        <v>118386240000</v>
      </c>
      <c r="J40" s="285">
        <f t="shared" si="4"/>
        <v>0.93102238908846158</v>
      </c>
      <c r="K40" s="358">
        <f t="shared" si="5"/>
        <v>6.8977610911538367E-2</v>
      </c>
      <c r="L40" s="4"/>
    </row>
    <row r="41" spans="1:12" ht="17.25">
      <c r="A41" s="105" t="str">
        <f t="shared" si="1"/>
        <v>NEXTERA ENERGY INC</v>
      </c>
      <c r="B41" s="88" t="str">
        <f t="shared" si="1"/>
        <v>NEE</v>
      </c>
      <c r="C41" s="88" t="str">
        <f t="shared" si="1"/>
        <v>Electric - East</v>
      </c>
      <c r="D41" s="361">
        <f t="shared" si="2"/>
        <v>165135960000</v>
      </c>
      <c r="E41" s="361">
        <f>(1/1)*I25</f>
        <v>0</v>
      </c>
      <c r="F41" s="361">
        <v>372000000</v>
      </c>
      <c r="G41" s="361"/>
      <c r="H41" s="361">
        <f>(76428/80446)*J25</f>
        <v>76428000000</v>
      </c>
      <c r="I41" s="277">
        <f t="shared" ref="I41" si="6">+D41+E41+F41+G41+H41</f>
        <v>241935960000</v>
      </c>
      <c r="J41" s="285">
        <f t="shared" ref="J41" si="7">(+D41)/I41</f>
        <v>0.68256062472069057</v>
      </c>
      <c r="K41" s="358">
        <f t="shared" ref="K41" si="8">(+E41+F41+G41+H41)/I41</f>
        <v>0.31743937527930943</v>
      </c>
      <c r="L41" s="4"/>
    </row>
    <row r="42" spans="1:12" ht="17.25">
      <c r="A42" s="105" t="str">
        <f t="shared" si="1"/>
        <v>NRG ENERGY</v>
      </c>
      <c r="B42" s="88" t="str">
        <f t="shared" si="1"/>
        <v>NRG</v>
      </c>
      <c r="C42" s="88" t="str">
        <f t="shared" si="1"/>
        <v>Power Electric</v>
      </c>
      <c r="D42" s="361">
        <f t="shared" si="2"/>
        <v>30315570898.68</v>
      </c>
      <c r="E42" s="361">
        <f>(1/1)*I26</f>
        <v>650000000</v>
      </c>
      <c r="F42" s="361">
        <f>35000000+144000000</f>
        <v>179000000</v>
      </c>
      <c r="G42" s="361"/>
      <c r="H42" s="361">
        <f>(16405/16565)*J26</f>
        <v>16284178388.167824</v>
      </c>
      <c r="I42" s="277">
        <f t="shared" si="3"/>
        <v>47428749286.847824</v>
      </c>
      <c r="J42" s="285">
        <f t="shared" si="4"/>
        <v>0.6391813268220975</v>
      </c>
      <c r="K42" s="358">
        <f t="shared" si="5"/>
        <v>0.36081867317790256</v>
      </c>
      <c r="L42" s="4"/>
    </row>
    <row r="43" spans="1:12" ht="17.25">
      <c r="A43" s="105" t="str">
        <f t="shared" si="1"/>
        <v>SOUTHERN COMPANY</v>
      </c>
      <c r="B43" s="88" t="str">
        <f t="shared" si="1"/>
        <v>SO</v>
      </c>
      <c r="C43" s="88" t="str">
        <f>+C27</f>
        <v>Electric - East</v>
      </c>
      <c r="D43" s="361">
        <f t="shared" si="2"/>
        <v>95832800000</v>
      </c>
      <c r="E43" s="361">
        <f>(1/1)*I27</f>
        <v>0</v>
      </c>
      <c r="F43" s="361">
        <v>1484000000</v>
      </c>
      <c r="G43" s="361">
        <v>768000000</v>
      </c>
      <c r="H43" s="280">
        <f>(57.7/63.2)*J27</f>
        <v>59935875000</v>
      </c>
      <c r="I43" s="277">
        <f>+D43+E43+F43+G43+H43</f>
        <v>158020675000</v>
      </c>
      <c r="J43" s="285">
        <f t="shared" si="4"/>
        <v>0.60645735122951472</v>
      </c>
      <c r="K43" s="358">
        <f>(+E43+F43+G43+H43)/I43</f>
        <v>0.39354264877048528</v>
      </c>
      <c r="L43" s="4"/>
    </row>
    <row r="44" spans="1:12" ht="18" thickBot="1">
      <c r="A44" s="106" t="str">
        <f t="shared" si="1"/>
        <v>VISTRA ENERGY CORPORATION</v>
      </c>
      <c r="B44" s="96" t="str">
        <f t="shared" si="1"/>
        <v>VST</v>
      </c>
      <c r="C44" s="96" t="str">
        <f t="shared" si="1"/>
        <v>Power Electric</v>
      </c>
      <c r="D44" s="363">
        <f>(+H28)*G28</f>
        <v>54539160914.550003</v>
      </c>
      <c r="E44" s="363">
        <f>(1/1)*I28</f>
        <v>2476000000</v>
      </c>
      <c r="F44" s="363">
        <v>92000000</v>
      </c>
      <c r="G44" s="363">
        <v>4000000</v>
      </c>
      <c r="H44" s="283">
        <f>(2459/2417)*J28</f>
        <v>17339154737.277618</v>
      </c>
      <c r="I44" s="107">
        <f>+D44+E44+F44+G44+H44</f>
        <v>74450315651.827621</v>
      </c>
      <c r="J44" s="308">
        <f t="shared" si="4"/>
        <v>0.73255781976273149</v>
      </c>
      <c r="K44" s="359">
        <f>(+E44+F44+G44+H44)/I44</f>
        <v>0.26744218023726857</v>
      </c>
      <c r="L44" s="4" t="s">
        <v>0</v>
      </c>
    </row>
    <row r="45" spans="1:12" ht="17.25">
      <c r="A45" s="12"/>
      <c r="B45" s="12"/>
      <c r="C45" s="12"/>
      <c r="D45" s="12"/>
      <c r="E45" s="12"/>
      <c r="F45" s="12"/>
      <c r="H45" s="12" t="s">
        <v>0</v>
      </c>
      <c r="I45" s="116" t="s">
        <v>51</v>
      </c>
      <c r="J45" s="120">
        <v>0.81230000000000002</v>
      </c>
      <c r="K45" s="120">
        <v>0.67959999999999998</v>
      </c>
    </row>
    <row r="46" spans="1:12" ht="17.25">
      <c r="G46" s="115" t="s">
        <v>0</v>
      </c>
      <c r="I46" s="271" t="s">
        <v>52</v>
      </c>
      <c r="J46" s="272">
        <v>0.32040000000000002</v>
      </c>
      <c r="K46" s="272">
        <v>0.18770000000000001</v>
      </c>
    </row>
    <row r="47" spans="1:12" ht="17.25">
      <c r="G47" s="115" t="s">
        <v>0</v>
      </c>
      <c r="H47" s="12" t="s">
        <v>0</v>
      </c>
      <c r="I47" s="14" t="s">
        <v>18</v>
      </c>
      <c r="J47" s="118">
        <f>MEDIAN(J38:J44)</f>
        <v>0.6391813268220975</v>
      </c>
      <c r="K47" s="119">
        <f>MEDIAN(K38:K44)</f>
        <v>0.36081867317790256</v>
      </c>
    </row>
    <row r="48" spans="1:12" ht="17.25">
      <c r="E48" t="s">
        <v>0</v>
      </c>
      <c r="F48" t="s">
        <v>0</v>
      </c>
      <c r="H48" s="12" t="s">
        <v>0</v>
      </c>
      <c r="I48" s="14" t="s">
        <v>375</v>
      </c>
      <c r="J48" s="118">
        <f>AVERAGE(J38:J44)</f>
        <v>0.62107750979191267</v>
      </c>
      <c r="K48" s="119">
        <f>AVERAGE(K38:K44)</f>
        <v>0.37892249020808733</v>
      </c>
    </row>
    <row r="49" spans="1:11" ht="18" thickBot="1">
      <c r="D49" t="s">
        <v>0</v>
      </c>
      <c r="F49" t="s">
        <v>0</v>
      </c>
      <c r="H49" s="12"/>
      <c r="I49" s="12"/>
      <c r="J49" s="62"/>
      <c r="K49" s="62"/>
    </row>
    <row r="50" spans="1:11" ht="27" thickBot="1">
      <c r="H50" s="12"/>
      <c r="I50" s="180" t="s">
        <v>212</v>
      </c>
      <c r="J50" s="335">
        <v>0.62</v>
      </c>
      <c r="K50" s="336">
        <v>0.38</v>
      </c>
    </row>
    <row r="51" spans="1:11" ht="17.25">
      <c r="E51" s="117"/>
      <c r="F51" s="12"/>
      <c r="G51" s="12"/>
      <c r="H51" s="12"/>
      <c r="I51" s="62"/>
      <c r="J51" s="62" t="s">
        <v>0</v>
      </c>
      <c r="K51" s="12"/>
    </row>
    <row r="52" spans="1:11" ht="16.5">
      <c r="E52" s="117"/>
      <c r="F52" s="12"/>
      <c r="G52" s="12"/>
      <c r="H52" s="12"/>
      <c r="I52" s="12"/>
      <c r="J52" s="12"/>
      <c r="K52" s="12"/>
    </row>
    <row r="53" spans="1:11" ht="16.5">
      <c r="E53" s="117"/>
      <c r="F53" s="12"/>
      <c r="G53" s="12"/>
      <c r="H53" s="12"/>
      <c r="I53" s="12"/>
      <c r="J53" s="12"/>
      <c r="K53" s="12"/>
    </row>
    <row r="54" spans="1:11" ht="26.25">
      <c r="A54" s="23" t="s">
        <v>82</v>
      </c>
      <c r="B54" s="12"/>
      <c r="C54" s="74"/>
      <c r="D54" s="121"/>
      <c r="E54" s="117"/>
      <c r="F54" s="12"/>
      <c r="G54" s="12"/>
      <c r="H54" s="12"/>
      <c r="I54" s="12"/>
      <c r="J54" s="12"/>
      <c r="K54" s="12"/>
    </row>
    <row r="55" spans="1:11" ht="16.5">
      <c r="A55" s="85" t="s">
        <v>64</v>
      </c>
      <c r="B55" s="12"/>
      <c r="C55" s="74"/>
      <c r="D55" s="121"/>
      <c r="E55" s="117"/>
      <c r="F55" s="12"/>
      <c r="G55" s="12"/>
      <c r="H55" s="12"/>
      <c r="I55" s="12"/>
      <c r="J55" s="12"/>
      <c r="K55" s="12"/>
    </row>
    <row r="56" spans="1:11" ht="16.5">
      <c r="A56" s="12" t="s">
        <v>155</v>
      </c>
    </row>
    <row r="57" spans="1:11" ht="16.5">
      <c r="A57" s="12" t="s">
        <v>363</v>
      </c>
      <c r="J57" s="355"/>
    </row>
    <row r="58" spans="1:11" ht="16.5">
      <c r="A58" s="12" t="s">
        <v>154</v>
      </c>
    </row>
    <row r="59" spans="1:11" ht="16.5">
      <c r="A59" s="12" t="s">
        <v>362</v>
      </c>
    </row>
    <row r="62" spans="1:11" ht="26.25">
      <c r="A62" s="341" t="s">
        <v>428</v>
      </c>
      <c r="H62" s="12" t="s">
        <v>0</v>
      </c>
      <c r="I62" t="s">
        <v>0</v>
      </c>
    </row>
    <row r="63" spans="1:11" ht="16.5">
      <c r="A63" s="342" t="s">
        <v>405</v>
      </c>
    </row>
    <row r="64" spans="1:11" ht="17.25">
      <c r="A64" s="343" t="s">
        <v>430</v>
      </c>
    </row>
    <row r="65" spans="1:8" ht="17.25">
      <c r="A65" s="343" t="s">
        <v>432</v>
      </c>
      <c r="H65" t="s">
        <v>0</v>
      </c>
    </row>
    <row r="66" spans="1:8" ht="17.25">
      <c r="A66" s="343" t="s">
        <v>368</v>
      </c>
      <c r="H66" t="s">
        <v>0</v>
      </c>
    </row>
    <row r="67" spans="1:8" ht="17.25">
      <c r="A67" s="343" t="s">
        <v>427</v>
      </c>
      <c r="H67" t="s">
        <v>0</v>
      </c>
    </row>
    <row r="68" spans="1:8" ht="16.5">
      <c r="A68" s="344" t="s">
        <v>431</v>
      </c>
      <c r="H68" t="s">
        <v>0</v>
      </c>
    </row>
    <row r="69" spans="1:8" ht="16.5">
      <c r="A69" s="344" t="s">
        <v>424</v>
      </c>
    </row>
    <row r="72" spans="1:8" ht="26.25">
      <c r="A72" s="353" t="s">
        <v>404</v>
      </c>
    </row>
    <row r="73" spans="1:8" ht="16.5">
      <c r="A73" s="340" t="s">
        <v>416</v>
      </c>
    </row>
    <row r="74" spans="1:8" ht="16.5">
      <c r="A74" s="43" t="s">
        <v>406</v>
      </c>
    </row>
    <row r="75" spans="1:8" ht="17.25">
      <c r="A75" s="137" t="s">
        <v>417</v>
      </c>
    </row>
    <row r="76" spans="1:8" ht="17.25">
      <c r="A76" s="137" t="s">
        <v>418</v>
      </c>
    </row>
    <row r="77" spans="1:8" ht="16.5">
      <c r="A77" s="43" t="s">
        <v>407</v>
      </c>
    </row>
    <row r="78" spans="1:8" ht="16.5">
      <c r="A78" s="340" t="s">
        <v>419</v>
      </c>
    </row>
    <row r="79" spans="1:8" ht="16.5">
      <c r="A79" s="340" t="s">
        <v>425</v>
      </c>
    </row>
    <row r="80" spans="1:8" ht="16.5">
      <c r="A80" s="43" t="s">
        <v>420</v>
      </c>
    </row>
    <row r="81" spans="1:1" ht="16.5">
      <c r="A81" s="43" t="s">
        <v>421</v>
      </c>
    </row>
    <row r="82" spans="1:1" ht="16.5">
      <c r="A82" s="43" t="s">
        <v>408</v>
      </c>
    </row>
    <row r="83" spans="1:1" ht="16.5">
      <c r="A83" s="340" t="s">
        <v>409</v>
      </c>
    </row>
    <row r="84" spans="1:1" ht="17.25">
      <c r="A84" s="137" t="s">
        <v>410</v>
      </c>
    </row>
    <row r="85" spans="1:1" ht="16.5">
      <c r="A85" s="124" t="s">
        <v>411</v>
      </c>
    </row>
    <row r="86" spans="1:1" ht="16.5">
      <c r="A86" s="43" t="s">
        <v>422</v>
      </c>
    </row>
    <row r="87" spans="1:1" ht="16.5">
      <c r="A87" s="124" t="s">
        <v>412</v>
      </c>
    </row>
    <row r="88" spans="1:1" ht="16.5">
      <c r="A88" s="124" t="s">
        <v>423</v>
      </c>
    </row>
    <row r="89" spans="1:1" ht="16.5">
      <c r="A89" s="43" t="s">
        <v>413</v>
      </c>
    </row>
  </sheetData>
  <pageMargins left="0.25" right="0.25" top="0.75" bottom="0.75" header="0.3" footer="0.3"/>
  <pageSetup scale="32" orientation="landscape" r:id="rId1"/>
  <rowBreaks count="1" manualBreakCount="1">
    <brk id="50" max="11" man="1"/>
  </rowBreaks>
  <colBreaks count="1" manualBreakCount="1">
    <brk id="11" max="90" man="1"/>
  </colBreaks>
  <ignoredErrors>
    <ignoredError sqref="E39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J60"/>
  <sheetViews>
    <sheetView view="pageBreakPreview" zoomScale="70" zoomScaleNormal="80" zoomScaleSheetLayoutView="70" zoomScalePageLayoutView="70" workbookViewId="0">
      <pane xSplit="1" topLeftCell="B1" activePane="topRight" state="frozen"/>
      <selection activeCell="B39" sqref="B39"/>
      <selection pane="topRight" activeCell="F4" sqref="F4:F5"/>
    </sheetView>
  </sheetViews>
  <sheetFormatPr defaultRowHeight="15"/>
  <cols>
    <col min="1" max="1" width="69.42578125" customWidth="1"/>
    <col min="2" max="2" width="13.42578125" customWidth="1"/>
    <col min="3" max="3" width="20.42578125" bestFit="1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4" t="s">
        <v>1</v>
      </c>
      <c r="B1" s="12"/>
      <c r="C1" s="12"/>
      <c r="D1" s="12"/>
      <c r="E1" s="12"/>
      <c r="F1" s="12"/>
      <c r="G1" s="12"/>
      <c r="H1" s="12"/>
    </row>
    <row r="2" spans="1:9" ht="17.25">
      <c r="A2" s="25" t="s">
        <v>9</v>
      </c>
      <c r="B2" s="12"/>
      <c r="C2" s="12"/>
      <c r="D2" s="12"/>
      <c r="E2" s="12"/>
      <c r="F2" s="12"/>
      <c r="G2" s="12"/>
      <c r="H2" s="12"/>
    </row>
    <row r="3" spans="1:9" ht="16.5">
      <c r="A3" s="26" t="s">
        <v>479</v>
      </c>
      <c r="B3" s="12"/>
      <c r="C3" s="12"/>
      <c r="D3" s="12"/>
      <c r="E3" s="12"/>
      <c r="F3" s="12"/>
      <c r="G3" s="12"/>
      <c r="H3" s="12"/>
    </row>
    <row r="4" spans="1:9" ht="16.5">
      <c r="A4" s="26"/>
      <c r="B4" s="12"/>
      <c r="C4" s="12"/>
      <c r="D4" s="12"/>
      <c r="E4" s="12"/>
      <c r="F4" s="466" t="s">
        <v>0</v>
      </c>
      <c r="G4" s="12"/>
      <c r="H4" s="12"/>
    </row>
    <row r="5" spans="1:9" ht="16.5">
      <c r="B5" s="12"/>
      <c r="C5" s="12"/>
      <c r="D5" s="12"/>
      <c r="E5" s="27"/>
      <c r="F5" s="466" t="s">
        <v>0</v>
      </c>
      <c r="G5" s="12"/>
      <c r="H5" s="12" t="s">
        <v>0</v>
      </c>
    </row>
    <row r="6" spans="1:9" ht="16.5">
      <c r="A6" s="85"/>
      <c r="B6" s="34"/>
      <c r="C6" s="34"/>
      <c r="D6" s="34"/>
      <c r="E6" s="34"/>
      <c r="F6" s="34"/>
      <c r="G6" s="14"/>
      <c r="H6" s="84"/>
      <c r="I6" s="3"/>
    </row>
    <row r="7" spans="1:9" ht="16.5">
      <c r="A7" s="43"/>
      <c r="B7" s="43"/>
      <c r="C7" s="43"/>
      <c r="D7" s="43"/>
      <c r="E7" s="43"/>
      <c r="F7" s="43"/>
      <c r="G7" s="43"/>
      <c r="H7" s="43"/>
      <c r="I7" s="2"/>
    </row>
    <row r="8" spans="1:9" ht="17.25" thickBot="1">
      <c r="A8" s="43"/>
      <c r="B8" s="43"/>
      <c r="C8" s="43"/>
      <c r="D8" s="86"/>
      <c r="E8" s="29"/>
      <c r="F8" s="86"/>
      <c r="H8" s="43"/>
      <c r="I8" s="2"/>
    </row>
    <row r="9" spans="1:9" ht="27" thickBot="1">
      <c r="A9" s="28" t="str">
        <f>+'S&amp;D'!A12</f>
        <v>Electric Wholesale (non-regulated) Power Generator</v>
      </c>
      <c r="B9" s="43"/>
      <c r="C9" s="43"/>
      <c r="D9" s="43"/>
      <c r="E9" s="31" t="s">
        <v>289</v>
      </c>
      <c r="F9" s="43"/>
      <c r="H9" s="12"/>
    </row>
    <row r="10" spans="1:9" ht="21" thickBot="1">
      <c r="A10" s="30"/>
      <c r="B10" s="43"/>
      <c r="C10" s="43"/>
      <c r="D10" s="86"/>
      <c r="E10" s="36" t="s">
        <v>492</v>
      </c>
      <c r="F10" s="86"/>
      <c r="H10" s="12"/>
    </row>
    <row r="11" spans="1:9" ht="20.25">
      <c r="A11" s="30"/>
      <c r="B11" s="43"/>
      <c r="C11" s="43"/>
      <c r="D11" s="43"/>
      <c r="E11" s="34"/>
      <c r="F11" s="43"/>
      <c r="H11" s="12"/>
    </row>
    <row r="12" spans="1:9" ht="20.25">
      <c r="A12" s="30"/>
      <c r="B12" s="43"/>
      <c r="C12" s="43"/>
      <c r="D12" s="43"/>
      <c r="E12" s="34"/>
      <c r="F12" s="43"/>
      <c r="H12" s="12"/>
    </row>
    <row r="13" spans="1:9" ht="20.25">
      <c r="A13" s="30"/>
      <c r="B13" s="43"/>
      <c r="C13" s="43"/>
      <c r="D13" s="43"/>
      <c r="E13" s="34"/>
      <c r="F13" s="43"/>
      <c r="H13" s="12"/>
    </row>
    <row r="14" spans="1:9" ht="20.25">
      <c r="A14" s="30"/>
      <c r="B14" s="43"/>
      <c r="C14" s="43"/>
      <c r="D14" s="43"/>
      <c r="E14" s="13" t="s">
        <v>0</v>
      </c>
      <c r="F14" s="43"/>
      <c r="H14" s="12"/>
    </row>
    <row r="15" spans="1:9" ht="17.25" thickBot="1">
      <c r="A15" s="41" t="s">
        <v>0</v>
      </c>
      <c r="B15" s="41" t="s">
        <v>0</v>
      </c>
      <c r="C15" s="41" t="s">
        <v>0</v>
      </c>
      <c r="D15" s="41"/>
      <c r="E15" s="41"/>
      <c r="F15" s="41"/>
      <c r="H15" s="12"/>
    </row>
    <row r="16" spans="1:9" ht="17.25">
      <c r="A16" s="87"/>
      <c r="B16" s="88"/>
      <c r="C16" s="89"/>
      <c r="D16" s="211" t="s">
        <v>0</v>
      </c>
      <c r="E16" s="212" t="s">
        <v>0</v>
      </c>
      <c r="F16" s="211" t="s">
        <v>0</v>
      </c>
      <c r="H16" s="12"/>
    </row>
    <row r="17" spans="1:10" ht="17.25">
      <c r="A17" s="87" t="s">
        <v>0</v>
      </c>
      <c r="B17" s="88" t="s">
        <v>3</v>
      </c>
      <c r="C17" s="89" t="s">
        <v>5</v>
      </c>
      <c r="D17" s="90" t="s">
        <v>279</v>
      </c>
      <c r="E17" s="213" t="s">
        <v>71</v>
      </c>
      <c r="F17" s="90" t="s">
        <v>281</v>
      </c>
      <c r="H17" s="12"/>
    </row>
    <row r="18" spans="1:10" ht="17.25">
      <c r="A18" s="87"/>
      <c r="B18" s="88" t="s">
        <v>4</v>
      </c>
      <c r="C18" s="89" t="s">
        <v>6</v>
      </c>
      <c r="D18" s="90" t="s">
        <v>290</v>
      </c>
      <c r="E18" s="213" t="s">
        <v>290</v>
      </c>
      <c r="F18" s="90" t="s">
        <v>134</v>
      </c>
      <c r="H18" s="12"/>
    </row>
    <row r="19" spans="1:10" ht="18" thickBot="1">
      <c r="A19" s="95" t="s">
        <v>2</v>
      </c>
      <c r="B19" s="96" t="s">
        <v>0</v>
      </c>
      <c r="C19" s="97" t="s">
        <v>0</v>
      </c>
      <c r="D19" s="96" t="s">
        <v>0</v>
      </c>
      <c r="E19" s="113" t="s">
        <v>0</v>
      </c>
      <c r="F19" s="96" t="s">
        <v>0</v>
      </c>
      <c r="H19" s="12"/>
    </row>
    <row r="20" spans="1:10" ht="16.5">
      <c r="A20" s="242" t="s">
        <v>7</v>
      </c>
      <c r="B20" s="243" t="s">
        <v>7</v>
      </c>
      <c r="C20" s="244" t="s">
        <v>7</v>
      </c>
      <c r="D20" s="243" t="s">
        <v>7</v>
      </c>
      <c r="E20" s="114" t="s">
        <v>280</v>
      </c>
      <c r="F20" s="100"/>
      <c r="H20" s="12"/>
    </row>
    <row r="21" spans="1:10" ht="17.25">
      <c r="A21" s="87"/>
      <c r="B21" s="88"/>
      <c r="C21" s="214"/>
      <c r="D21" s="88"/>
      <c r="E21" s="214"/>
      <c r="F21" s="88"/>
      <c r="H21" s="12"/>
    </row>
    <row r="22" spans="1:10" ht="17.25">
      <c r="A22" s="102" t="str">
        <f>+'S&amp;D'!A22</f>
        <v>AES CORPORATION</v>
      </c>
      <c r="B22" s="87" t="str">
        <f>+'S&amp;D'!B22</f>
        <v>AES</v>
      </c>
      <c r="C22" s="88" t="str">
        <f>+'S&amp;D'!C22</f>
        <v>Power Electric</v>
      </c>
      <c r="D22" s="228">
        <f>+'S&amp;D'!D38</f>
        <v>6708940739.3400002</v>
      </c>
      <c r="E22" s="230">
        <v>4063000000</v>
      </c>
      <c r="F22" s="104">
        <f>+D22/E22</f>
        <v>1.6512283385035689</v>
      </c>
      <c r="H22" s="12"/>
    </row>
    <row r="23" spans="1:10" ht="17.25">
      <c r="A23" s="102" t="str">
        <f>+'S&amp;D'!A23</f>
        <v>DOMINION ENERGY INC</v>
      </c>
      <c r="B23" s="87" t="str">
        <f>+'S&amp;D'!B23</f>
        <v>D</v>
      </c>
      <c r="C23" s="88" t="str">
        <f>+'S&amp;D'!C23</f>
        <v>Electric - East</v>
      </c>
      <c r="D23" s="228">
        <f>+'S&amp;D'!D39</f>
        <v>51500610000</v>
      </c>
      <c r="E23" s="230">
        <v>27205000000</v>
      </c>
      <c r="F23" s="104">
        <f t="shared" ref="F23:F28" si="0">+D23/E23</f>
        <v>1.8930567910310605</v>
      </c>
      <c r="H23" s="12"/>
    </row>
    <row r="24" spans="1:10" ht="17.25">
      <c r="A24" s="102" t="str">
        <f>+'S&amp;D'!A24</f>
        <v>CONSTELLATION ENERGY GENERATION LLC</v>
      </c>
      <c r="B24" s="87" t="str">
        <f>+'S&amp;D'!B24</f>
        <v>CEG</v>
      </c>
      <c r="C24" s="88" t="str">
        <f>+'S&amp;D'!C24</f>
        <v>Power Electric</v>
      </c>
      <c r="D24" s="228">
        <f>+'S&amp;D'!D40</f>
        <v>110220240000</v>
      </c>
      <c r="E24" s="230">
        <v>14527000000</v>
      </c>
      <c r="F24" s="104">
        <f t="shared" si="0"/>
        <v>7.5872678460797136</v>
      </c>
      <c r="G24" t="s">
        <v>0</v>
      </c>
      <c r="H24" s="12"/>
    </row>
    <row r="25" spans="1:10" ht="17.25">
      <c r="A25" s="102" t="str">
        <f>+'S&amp;D'!A25</f>
        <v>NEXTERA ENERGY INC</v>
      </c>
      <c r="B25" s="87" t="str">
        <f>+'S&amp;D'!B25</f>
        <v>NEE</v>
      </c>
      <c r="C25" s="88" t="str">
        <f>+'S&amp;D'!C25</f>
        <v>Electric - East</v>
      </c>
      <c r="D25" s="228">
        <f>+'S&amp;D'!D41</f>
        <v>165135960000</v>
      </c>
      <c r="E25" s="230">
        <v>50101000000</v>
      </c>
      <c r="F25" s="104">
        <f t="shared" ref="F25" si="1">+D25/E25</f>
        <v>3.296061156463943</v>
      </c>
      <c r="H25" s="12"/>
    </row>
    <row r="26" spans="1:10" ht="17.25">
      <c r="A26" s="102" t="str">
        <f>+'S&amp;D'!A26</f>
        <v>NRG ENERGY</v>
      </c>
      <c r="B26" s="87" t="str">
        <f>+'S&amp;D'!B26</f>
        <v>NRG</v>
      </c>
      <c r="C26" s="88" t="str">
        <f>+'S&amp;D'!C26</f>
        <v>Power Electric</v>
      </c>
      <c r="D26" s="228">
        <f>+'S&amp;D'!D42</f>
        <v>30315570898.68</v>
      </c>
      <c r="E26" s="230">
        <v>1681000000</v>
      </c>
      <c r="F26" s="104">
        <f t="shared" si="0"/>
        <v>18.034248006353362</v>
      </c>
      <c r="H26" s="12"/>
    </row>
    <row r="27" spans="1:10" ht="17.25">
      <c r="A27" s="102" t="str">
        <f>+'S&amp;D'!A27</f>
        <v>SOUTHERN COMPANY</v>
      </c>
      <c r="B27" s="87" t="str">
        <f>+'S&amp;D'!B27</f>
        <v>SO</v>
      </c>
      <c r="C27" s="88" t="str">
        <f>+'S&amp;D'!C27</f>
        <v>Electric - East</v>
      </c>
      <c r="D27" s="228">
        <f>+'S&amp;D'!D43</f>
        <v>95832800000</v>
      </c>
      <c r="E27" s="230">
        <v>36106000000</v>
      </c>
      <c r="F27" s="104">
        <f t="shared" si="0"/>
        <v>2.6542070569988367</v>
      </c>
      <c r="H27" s="12"/>
    </row>
    <row r="28" spans="1:10" ht="18" thickBot="1">
      <c r="A28" s="106" t="str">
        <f>+'S&amp;D'!A28</f>
        <v>VISTRA ENERGY CORPORATION</v>
      </c>
      <c r="B28" s="95" t="str">
        <f>+'S&amp;D'!B28</f>
        <v>VST</v>
      </c>
      <c r="C28" s="96" t="str">
        <f>+'S&amp;D'!C28</f>
        <v>Power Electric</v>
      </c>
      <c r="D28" s="229">
        <f>+'S&amp;D'!D44</f>
        <v>54539160914.550003</v>
      </c>
      <c r="E28" s="230">
        <v>5097000000</v>
      </c>
      <c r="F28" s="104">
        <f t="shared" si="0"/>
        <v>10.700247383666863</v>
      </c>
      <c r="H28" s="12"/>
      <c r="J28" s="10" t="s">
        <v>0</v>
      </c>
    </row>
    <row r="29" spans="1:10" ht="27" customHeight="1" thickBot="1">
      <c r="A29" s="108"/>
      <c r="B29" s="108"/>
      <c r="C29" s="108"/>
      <c r="D29" s="108"/>
      <c r="E29" s="240" t="s">
        <v>288</v>
      </c>
      <c r="F29" s="321">
        <f>AVERAGE(F22:F28)</f>
        <v>6.5451880827281927</v>
      </c>
      <c r="H29" s="12"/>
    </row>
    <row r="30" spans="1:10" ht="17.25">
      <c r="A30" s="108"/>
      <c r="B30" s="108"/>
      <c r="C30" s="108"/>
      <c r="D30" s="108"/>
      <c r="E30" s="223"/>
      <c r="F30" s="224"/>
      <c r="H30" s="12"/>
    </row>
    <row r="31" spans="1:10" ht="17.25">
      <c r="A31" s="108"/>
      <c r="B31" s="108"/>
      <c r="C31" s="108"/>
      <c r="D31" s="108"/>
      <c r="E31" s="223"/>
      <c r="F31" s="224"/>
      <c r="H31" s="12"/>
    </row>
    <row r="32" spans="1:10" ht="17.25">
      <c r="A32" s="108"/>
      <c r="B32" s="108"/>
      <c r="C32" s="108"/>
      <c r="D32" s="108"/>
      <c r="E32" s="223"/>
      <c r="F32" s="224"/>
      <c r="H32" s="12"/>
    </row>
    <row r="33" spans="1:8" ht="18" thickBot="1">
      <c r="A33" s="108"/>
      <c r="B33" s="108"/>
      <c r="C33" s="108"/>
      <c r="D33" s="108"/>
      <c r="E33" s="108"/>
      <c r="F33" s="108"/>
      <c r="H33" s="12"/>
    </row>
    <row r="34" spans="1:8" ht="17.25">
      <c r="A34" s="225"/>
      <c r="B34" s="226"/>
      <c r="C34" s="227"/>
      <c r="D34" s="211" t="s">
        <v>0</v>
      </c>
      <c r="E34" s="212" t="s">
        <v>0</v>
      </c>
      <c r="F34" s="211" t="s">
        <v>0</v>
      </c>
      <c r="H34" s="12"/>
    </row>
    <row r="35" spans="1:8" ht="17.25">
      <c r="A35" s="87" t="s">
        <v>0</v>
      </c>
      <c r="B35" s="88" t="s">
        <v>3</v>
      </c>
      <c r="C35" s="89" t="s">
        <v>5</v>
      </c>
      <c r="D35" s="90" t="s">
        <v>279</v>
      </c>
      <c r="E35" s="213" t="s">
        <v>71</v>
      </c>
      <c r="F35" s="90" t="s">
        <v>281</v>
      </c>
      <c r="H35" s="12"/>
    </row>
    <row r="36" spans="1:8" ht="17.25">
      <c r="A36" s="87"/>
      <c r="B36" s="88" t="s">
        <v>4</v>
      </c>
      <c r="C36" s="89" t="s">
        <v>6</v>
      </c>
      <c r="D36" s="90" t="s">
        <v>282</v>
      </c>
      <c r="E36" s="213" t="s">
        <v>282</v>
      </c>
      <c r="F36" s="90" t="s">
        <v>134</v>
      </c>
    </row>
    <row r="37" spans="1:8" ht="18" thickBot="1">
      <c r="A37" s="95" t="s">
        <v>2</v>
      </c>
      <c r="B37" s="96" t="s">
        <v>0</v>
      </c>
      <c r="C37" s="97" t="s">
        <v>0</v>
      </c>
      <c r="D37" s="96" t="s">
        <v>0</v>
      </c>
      <c r="E37" s="113" t="s">
        <v>0</v>
      </c>
      <c r="F37" s="96" t="s">
        <v>0</v>
      </c>
    </row>
    <row r="38" spans="1:8">
      <c r="A38" s="242" t="s">
        <v>7</v>
      </c>
      <c r="B38" s="243" t="s">
        <v>7</v>
      </c>
      <c r="C38" s="276" t="s">
        <v>7</v>
      </c>
      <c r="D38" s="243" t="s">
        <v>280</v>
      </c>
      <c r="E38" s="114" t="s">
        <v>280</v>
      </c>
      <c r="F38" s="100"/>
    </row>
    <row r="39" spans="1:8" ht="17.25">
      <c r="A39" s="87"/>
      <c r="B39" s="88"/>
      <c r="C39" s="89"/>
      <c r="D39" s="88"/>
      <c r="E39" s="214"/>
      <c r="F39" s="88"/>
    </row>
    <row r="40" spans="1:8" ht="17.25">
      <c r="A40" s="102" t="str">
        <f>+'S&amp;D'!A22</f>
        <v>AES CORPORATION</v>
      </c>
      <c r="B40" s="87" t="str">
        <f>+'S&amp;D'!B22</f>
        <v>AES</v>
      </c>
      <c r="C40" s="87" t="str">
        <f>+'S&amp;D'!C22</f>
        <v>Power Electric</v>
      </c>
      <c r="D40" s="228">
        <f>+'S&amp;D'!H38</f>
        <v>29002297324.84972</v>
      </c>
      <c r="E40" s="230">
        <f>+'S&amp;D'!J22</f>
        <v>29888000000</v>
      </c>
      <c r="F40" s="104">
        <f>+D40/E40</f>
        <v>0.97036594368474705</v>
      </c>
    </row>
    <row r="41" spans="1:8" ht="17.25">
      <c r="A41" s="102" t="str">
        <f>+'S&amp;D'!A23</f>
        <v>DOMINION ENERGY INC</v>
      </c>
      <c r="B41" s="87" t="str">
        <f>+'S&amp;D'!B23</f>
        <v>D</v>
      </c>
      <c r="C41" s="87" t="str">
        <f>+'S&amp;D'!C23</f>
        <v>Electric - East</v>
      </c>
      <c r="D41" s="228">
        <f>+'S&amp;D'!H39</f>
        <v>35439139727.999588</v>
      </c>
      <c r="E41" s="230">
        <f>+'S&amp;D'!J23</f>
        <v>36778000000</v>
      </c>
      <c r="F41" s="104">
        <f t="shared" ref="F41:F46" si="2">+D41/E41</f>
        <v>0.96359616422860372</v>
      </c>
    </row>
    <row r="42" spans="1:8" ht="17.25">
      <c r="A42" s="102" t="str">
        <f>+'S&amp;D'!A24</f>
        <v>CONSTELLATION ENERGY GENERATION LLC</v>
      </c>
      <c r="B42" s="87" t="str">
        <f>+'S&amp;D'!B24</f>
        <v>CEG</v>
      </c>
      <c r="C42" s="87" t="str">
        <f>+'S&amp;D'!C24</f>
        <v>Power Electric</v>
      </c>
      <c r="D42" s="228">
        <f>+'S&amp;D'!H40</f>
        <v>7661000000</v>
      </c>
      <c r="E42" s="230">
        <f>+'S&amp;D'!J24</f>
        <v>7342000000</v>
      </c>
      <c r="F42" s="104">
        <f t="shared" si="2"/>
        <v>1.0434486515935713</v>
      </c>
    </row>
    <row r="43" spans="1:8" ht="17.25">
      <c r="A43" s="102" t="str">
        <f>+'S&amp;D'!A25</f>
        <v>NEXTERA ENERGY INC</v>
      </c>
      <c r="B43" s="87" t="str">
        <f>+'S&amp;D'!B25</f>
        <v>NEE</v>
      </c>
      <c r="C43" s="87" t="str">
        <f>+'S&amp;D'!C25</f>
        <v>Electric - East</v>
      </c>
      <c r="D43" s="228">
        <f>+'S&amp;D'!H41</f>
        <v>76428000000</v>
      </c>
      <c r="E43" s="230">
        <f>+'S&amp;D'!J25</f>
        <v>80446000000</v>
      </c>
      <c r="F43" s="104">
        <f t="shared" ref="F43" si="3">+D43/E43</f>
        <v>0.95005345200507174</v>
      </c>
    </row>
    <row r="44" spans="1:8" ht="17.25">
      <c r="A44" s="102" t="str">
        <f>+'S&amp;D'!A26</f>
        <v>NRG ENERGY</v>
      </c>
      <c r="B44" s="87" t="str">
        <f>+'S&amp;D'!B26</f>
        <v>NRG</v>
      </c>
      <c r="C44" s="87" t="str">
        <f>+'S&amp;D'!C26</f>
        <v>Power Electric</v>
      </c>
      <c r="D44" s="228">
        <f>+'S&amp;D'!H42</f>
        <v>16284178388.167824</v>
      </c>
      <c r="E44" s="230">
        <f>+'S&amp;D'!J26</f>
        <v>16443000000</v>
      </c>
      <c r="F44" s="104">
        <f t="shared" si="2"/>
        <v>0.99034108059160886</v>
      </c>
    </row>
    <row r="45" spans="1:8" ht="17.25">
      <c r="A45" s="102" t="str">
        <f>+'S&amp;D'!A27</f>
        <v>SOUTHERN COMPANY</v>
      </c>
      <c r="B45" s="87" t="str">
        <f>+'S&amp;D'!B27</f>
        <v>SO</v>
      </c>
      <c r="C45" s="87" t="str">
        <f>+'S&amp;D'!C27</f>
        <v>Electric - East</v>
      </c>
      <c r="D45" s="228">
        <f>+'S&amp;D'!H43</f>
        <v>59935875000</v>
      </c>
      <c r="E45" s="230">
        <f>+'S&amp;D'!J27</f>
        <v>65649000000</v>
      </c>
      <c r="F45" s="104">
        <f t="shared" si="2"/>
        <v>0.91297468354430378</v>
      </c>
    </row>
    <row r="46" spans="1:8" ht="18" thickBot="1">
      <c r="A46" s="106" t="str">
        <f>+'S&amp;D'!A28</f>
        <v>VISTRA ENERGY CORPORATION</v>
      </c>
      <c r="B46" s="95" t="str">
        <f>+'S&amp;D'!B28</f>
        <v>VST</v>
      </c>
      <c r="C46" s="95" t="str">
        <f>+'S&amp;D'!C28</f>
        <v>Power Electric</v>
      </c>
      <c r="D46" s="229">
        <f>+'S&amp;D'!H44</f>
        <v>17339154737.277618</v>
      </c>
      <c r="E46" s="230">
        <f>+'S&amp;D'!J28</f>
        <v>17043000000</v>
      </c>
      <c r="F46" s="104">
        <f t="shared" si="2"/>
        <v>1.0173769135291684</v>
      </c>
    </row>
    <row r="47" spans="1:8" ht="27.75" customHeight="1" thickBot="1">
      <c r="E47" s="240" t="s">
        <v>288</v>
      </c>
      <c r="F47" s="321">
        <f>AVERAGE(F40:F46)</f>
        <v>0.97830812702529646</v>
      </c>
    </row>
    <row r="52" spans="1:6">
      <c r="C52" s="215" t="s">
        <v>283</v>
      </c>
      <c r="D52" s="215" t="s">
        <v>284</v>
      </c>
      <c r="E52" s="215"/>
    </row>
    <row r="53" spans="1:6">
      <c r="A53" s="217"/>
      <c r="B53" s="217"/>
      <c r="C53" s="216" t="s">
        <v>35</v>
      </c>
      <c r="D53" s="216" t="s">
        <v>285</v>
      </c>
      <c r="E53" s="216" t="s">
        <v>286</v>
      </c>
    </row>
    <row r="54" spans="1:6" ht="17.25">
      <c r="A54" s="89" t="s">
        <v>39</v>
      </c>
      <c r="B54" s="131" t="s">
        <v>0</v>
      </c>
      <c r="C54" s="131">
        <f>+'Yield CapRate'!C23</f>
        <v>0.62</v>
      </c>
      <c r="D54" s="221">
        <f>+F29</f>
        <v>6.5451880827281927</v>
      </c>
      <c r="E54" s="222">
        <f>+C54*D54</f>
        <v>4.0580166112914791</v>
      </c>
      <c r="F54" s="132" t="s">
        <v>0</v>
      </c>
    </row>
    <row r="55" spans="1:6" ht="17.25">
      <c r="A55" s="218" t="s">
        <v>40</v>
      </c>
      <c r="B55" s="219" t="str">
        <f>'S&amp;D'!J35</f>
        <v xml:space="preserve"> </v>
      </c>
      <c r="C55" s="219">
        <f>+'Yield CapRate'!C25</f>
        <v>0.38</v>
      </c>
      <c r="D55" s="220">
        <f>+F47</f>
        <v>0.97830812702529646</v>
      </c>
      <c r="E55" s="220">
        <f>+C55*D55</f>
        <v>0.37175708826961268</v>
      </c>
      <c r="F55" s="132" t="s">
        <v>0</v>
      </c>
    </row>
    <row r="56" spans="1:6" ht="17.25">
      <c r="D56" s="116" t="s">
        <v>287</v>
      </c>
      <c r="E56" s="241">
        <f>+E54+E55</f>
        <v>4.4297736995610917</v>
      </c>
    </row>
    <row r="59" spans="1:6" ht="20.25">
      <c r="A59" s="30" t="s">
        <v>376</v>
      </c>
    </row>
    <row r="60" spans="1:6" ht="20.25">
      <c r="A60" s="30" t="s">
        <v>349</v>
      </c>
    </row>
  </sheetData>
  <pageMargins left="0.25" right="0.25" top="0.75" bottom="0.75" header="0.3" footer="0.3"/>
  <pageSetup scale="48" orientation="landscape" r:id="rId1"/>
  <rowBreaks count="1" manualBreakCount="1">
    <brk id="33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76"/>
  <sheetViews>
    <sheetView view="pageBreakPreview" topLeftCell="A31" zoomScale="80" zoomScaleNormal="80" zoomScaleSheetLayoutView="80" workbookViewId="0">
      <selection activeCell="H47" activeCellId="2" sqref="H7 G29 H47"/>
    </sheetView>
  </sheetViews>
  <sheetFormatPr defaultRowHeight="15"/>
  <cols>
    <col min="1" max="1" width="45.140625" customWidth="1"/>
    <col min="2" max="2" width="10.85546875" bestFit="1" customWidth="1"/>
    <col min="3" max="3" width="13" customWidth="1"/>
    <col min="4" max="4" width="23.42578125" customWidth="1"/>
    <col min="5" max="5" width="22.285156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6.7109375" customWidth="1"/>
    <col min="12" max="12" width="23.140625" customWidth="1"/>
  </cols>
  <sheetData>
    <row r="1" spans="1:12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>
      <c r="A2" s="25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26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26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7.25" thickBot="1">
      <c r="A7" s="12"/>
      <c r="B7" s="12"/>
      <c r="C7" s="12"/>
      <c r="D7" s="12"/>
      <c r="E7" s="12"/>
      <c r="F7" s="29"/>
      <c r="G7" s="29"/>
      <c r="H7" s="467" t="s">
        <v>0</v>
      </c>
      <c r="I7" s="12"/>
      <c r="J7" s="12"/>
      <c r="K7" s="12"/>
      <c r="L7" s="12"/>
    </row>
    <row r="8" spans="1:12" ht="27" thickBot="1">
      <c r="A8" s="235" t="str">
        <f>+'S&amp;D'!A12</f>
        <v>Electric Wholesale (non-regulated) Power Generator</v>
      </c>
      <c r="B8" s="236"/>
      <c r="C8" s="173"/>
      <c r="D8" s="12"/>
      <c r="E8" s="12"/>
      <c r="F8" s="12"/>
      <c r="G8" s="31" t="s">
        <v>86</v>
      </c>
      <c r="H8" s="12"/>
      <c r="I8" s="12"/>
      <c r="J8" s="12"/>
      <c r="K8" s="12"/>
      <c r="L8" s="12"/>
    </row>
    <row r="9" spans="1:12" ht="20.25">
      <c r="A9" s="30"/>
      <c r="B9" s="12"/>
      <c r="C9" s="12"/>
      <c r="D9" s="12"/>
      <c r="E9" s="12"/>
      <c r="F9" s="12"/>
      <c r="G9" s="89" t="s">
        <v>87</v>
      </c>
      <c r="H9" s="12"/>
      <c r="I9" s="12"/>
      <c r="J9" s="12"/>
      <c r="K9" s="12"/>
      <c r="L9" s="12"/>
    </row>
    <row r="10" spans="1:12" ht="18" customHeight="1" thickBot="1">
      <c r="A10" s="40" t="s">
        <v>0</v>
      </c>
      <c r="B10" s="40" t="s">
        <v>0</v>
      </c>
      <c r="C10" s="40" t="s">
        <v>0</v>
      </c>
      <c r="D10" s="12"/>
      <c r="E10" s="12"/>
      <c r="F10" s="33" t="s">
        <v>0</v>
      </c>
      <c r="G10" s="36" t="s">
        <v>492</v>
      </c>
      <c r="H10" s="33" t="s">
        <v>0</v>
      </c>
      <c r="I10" s="40" t="s">
        <v>0</v>
      </c>
      <c r="J10" s="12"/>
      <c r="K10" s="12"/>
      <c r="L10" s="12"/>
    </row>
    <row r="11" spans="1:12" ht="18" customHeight="1">
      <c r="A11" s="40"/>
      <c r="B11" s="40"/>
      <c r="C11" s="40"/>
      <c r="D11" s="12"/>
      <c r="E11" s="12"/>
      <c r="J11" s="12"/>
      <c r="K11" s="12"/>
      <c r="L11" s="12"/>
    </row>
    <row r="12" spans="1:12" ht="18" customHeight="1">
      <c r="A12" s="40"/>
      <c r="B12" s="40"/>
      <c r="C12" s="40"/>
      <c r="D12" s="12"/>
      <c r="E12" s="12"/>
      <c r="G12" s="13" t="s">
        <v>0</v>
      </c>
      <c r="J12" s="12"/>
      <c r="K12" s="12"/>
      <c r="L12" s="12"/>
    </row>
    <row r="13" spans="1:12" ht="17.25" thickBot="1">
      <c r="A13" s="33"/>
      <c r="B13" s="33"/>
      <c r="C13" s="33"/>
      <c r="D13" s="33"/>
      <c r="E13" s="36"/>
      <c r="F13" s="33"/>
      <c r="G13" s="33"/>
      <c r="H13" s="33"/>
      <c r="I13" s="33"/>
      <c r="J13" s="29"/>
      <c r="K13" s="29"/>
      <c r="L13" s="29"/>
    </row>
    <row r="14" spans="1:12" ht="15" customHeight="1" thickBot="1">
      <c r="A14" s="33" t="s">
        <v>24</v>
      </c>
      <c r="B14" s="33" t="s">
        <v>99</v>
      </c>
      <c r="C14" s="33" t="s">
        <v>100</v>
      </c>
      <c r="D14" s="41" t="s">
        <v>101</v>
      </c>
      <c r="E14" s="33" t="s">
        <v>102</v>
      </c>
      <c r="F14" s="33" t="s">
        <v>103</v>
      </c>
      <c r="G14" s="33" t="s">
        <v>104</v>
      </c>
      <c r="H14" s="33" t="s">
        <v>105</v>
      </c>
      <c r="I14" s="33" t="s">
        <v>106</v>
      </c>
      <c r="J14" s="33" t="s">
        <v>107</v>
      </c>
      <c r="K14" s="33" t="s">
        <v>108</v>
      </c>
      <c r="L14" s="33" t="s">
        <v>116</v>
      </c>
    </row>
    <row r="15" spans="1:12" ht="16.5">
      <c r="A15" s="34" t="s">
        <v>0</v>
      </c>
      <c r="B15" s="34" t="s">
        <v>3</v>
      </c>
      <c r="C15" s="34" t="s">
        <v>88</v>
      </c>
      <c r="D15" s="34" t="s">
        <v>91</v>
      </c>
      <c r="E15" s="34" t="s">
        <v>91</v>
      </c>
      <c r="F15" s="34" t="s">
        <v>92</v>
      </c>
      <c r="G15" s="34" t="s">
        <v>95</v>
      </c>
      <c r="H15" s="34" t="s">
        <v>97</v>
      </c>
      <c r="I15" s="34" t="s">
        <v>119</v>
      </c>
      <c r="J15" s="34" t="s">
        <v>119</v>
      </c>
      <c r="K15" s="34" t="s">
        <v>112</v>
      </c>
      <c r="L15" s="34" t="s">
        <v>114</v>
      </c>
    </row>
    <row r="16" spans="1:12" ht="17.25" thickBot="1">
      <c r="A16" s="36" t="s">
        <v>2</v>
      </c>
      <c r="B16" s="36" t="s">
        <v>4</v>
      </c>
      <c r="C16" s="36" t="s">
        <v>89</v>
      </c>
      <c r="D16" s="36" t="s">
        <v>94</v>
      </c>
      <c r="E16" s="36" t="s">
        <v>93</v>
      </c>
      <c r="F16" s="36" t="s">
        <v>19</v>
      </c>
      <c r="G16" s="36" t="s">
        <v>96</v>
      </c>
      <c r="H16" s="36" t="s">
        <v>98</v>
      </c>
      <c r="I16" s="36" t="s">
        <v>0</v>
      </c>
      <c r="J16" s="36" t="s">
        <v>0</v>
      </c>
      <c r="K16" s="36" t="s">
        <v>113</v>
      </c>
      <c r="L16" s="36" t="s">
        <v>95</v>
      </c>
    </row>
    <row r="17" spans="1:12">
      <c r="A17" s="42" t="s">
        <v>7</v>
      </c>
      <c r="B17" s="42" t="s">
        <v>7</v>
      </c>
      <c r="C17" s="42" t="s">
        <v>90</v>
      </c>
      <c r="D17" s="42" t="s">
        <v>244</v>
      </c>
      <c r="E17" s="42" t="s">
        <v>244</v>
      </c>
      <c r="F17" s="42" t="s">
        <v>117</v>
      </c>
      <c r="G17" s="42" t="s">
        <v>243</v>
      </c>
      <c r="H17" s="42" t="s">
        <v>109</v>
      </c>
      <c r="I17" s="42" t="s">
        <v>110</v>
      </c>
      <c r="J17" s="42" t="s">
        <v>111</v>
      </c>
      <c r="K17" s="42" t="s">
        <v>118</v>
      </c>
      <c r="L17" s="42" t="s">
        <v>115</v>
      </c>
    </row>
    <row r="18" spans="1:12" ht="16.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ht="16.5">
      <c r="A19" s="12"/>
      <c r="B19" s="12"/>
      <c r="C19" s="12"/>
      <c r="D19" s="12" t="s">
        <v>0</v>
      </c>
      <c r="E19" s="12" t="s">
        <v>0</v>
      </c>
      <c r="F19" s="12" t="s">
        <v>0</v>
      </c>
      <c r="G19" s="12" t="s">
        <v>0</v>
      </c>
      <c r="H19" s="12"/>
      <c r="I19" s="12"/>
      <c r="J19" s="12"/>
      <c r="K19" s="12"/>
      <c r="L19" s="12"/>
    </row>
    <row r="20" spans="1:12" ht="22.5" customHeight="1">
      <c r="A20" s="62" t="str">
        <f>+'S&amp;D'!A22</f>
        <v>AES CORPORATION</v>
      </c>
      <c r="B20" s="89" t="str">
        <f>+'S&amp;D'!B22</f>
        <v>AES</v>
      </c>
      <c r="C20" s="65">
        <f>+'Growth &amp; Inflation Rates'!$D$56</f>
        <v>2.2800000000000001E-2</v>
      </c>
      <c r="D20" s="268">
        <f>37818000000+9796000000</f>
        <v>47614000000</v>
      </c>
      <c r="E20" s="268">
        <f>33166000000+8701000000</f>
        <v>41867000000</v>
      </c>
      <c r="F20" s="127">
        <f>(D20+E20)/2</f>
        <v>44740500000</v>
      </c>
      <c r="G20" s="127">
        <v>1330000000</v>
      </c>
      <c r="H20" s="18">
        <f t="shared" ref="H20:H25" si="0">+F20/G20</f>
        <v>33.639473684210529</v>
      </c>
      <c r="I20" s="44">
        <f>+C20*H20</f>
        <v>0.76698000000000011</v>
      </c>
      <c r="J20" s="45">
        <f>1/(1+C20)^H20</f>
        <v>0.46843070411722637</v>
      </c>
      <c r="K20" s="128">
        <f>(G20*I20)/(1-J20)</f>
        <v>1919003614.2060359</v>
      </c>
      <c r="L20" s="129">
        <f>+K20/G20</f>
        <v>1.44285986030529</v>
      </c>
    </row>
    <row r="21" spans="1:12" ht="22.5" customHeight="1">
      <c r="A21" s="62" t="str">
        <f>+'S&amp;D'!A23</f>
        <v>DOMINION ENERGY INC</v>
      </c>
      <c r="B21" s="89" t="str">
        <f>+'S&amp;D'!B23</f>
        <v>D</v>
      </c>
      <c r="C21" s="65">
        <f>+'Growth &amp; Inflation Rates'!$D$56</f>
        <v>2.2800000000000001E-2</v>
      </c>
      <c r="D21" s="268">
        <v>106315000000</v>
      </c>
      <c r="E21" s="268">
        <v>94844000000</v>
      </c>
      <c r="F21" s="127">
        <f t="shared" ref="F21:F26" si="1">(D21+E21)/2</f>
        <v>100579500000</v>
      </c>
      <c r="G21" s="127">
        <v>2387000000</v>
      </c>
      <c r="H21" s="18">
        <f t="shared" si="0"/>
        <v>42.136363636363633</v>
      </c>
      <c r="I21" s="44">
        <f t="shared" ref="I21:I26" si="2">+C21*H21</f>
        <v>0.96070909090909085</v>
      </c>
      <c r="J21" s="45">
        <f t="shared" ref="J21:J26" si="3">1/(1+C21)^H21</f>
        <v>0.3867716997183312</v>
      </c>
      <c r="K21" s="128">
        <f t="shared" ref="K21:K26" si="4">(G21*I21)/(1-J21)</f>
        <v>3739573987.2844729</v>
      </c>
      <c r="L21" s="129">
        <f t="shared" ref="L21:L26" si="5">+K21/G21</f>
        <v>1.5666418044761092</v>
      </c>
    </row>
    <row r="22" spans="1:12" ht="22.5" customHeight="1">
      <c r="A22" s="62" t="str">
        <f>+'S&amp;D'!A24</f>
        <v>CONSTELLATION ENERGY GENERATION LLC</v>
      </c>
      <c r="B22" s="89" t="str">
        <f>+'S&amp;D'!B24</f>
        <v>CEG</v>
      </c>
      <c r="C22" s="65">
        <f>+'Growth &amp; Inflation Rates'!$D$56</f>
        <v>2.2800000000000001E-2</v>
      </c>
      <c r="D22" s="268">
        <f>22474000000+19072000000</f>
        <v>41546000000</v>
      </c>
      <c r="E22" s="268">
        <f>21235000000+18088000000</f>
        <v>39323000000</v>
      </c>
      <c r="F22" s="127">
        <f>(D22+E22)/2</f>
        <v>40434500000</v>
      </c>
      <c r="G22" s="127">
        <v>985000000</v>
      </c>
      <c r="H22" s="18">
        <f t="shared" si="0"/>
        <v>41.0502538071066</v>
      </c>
      <c r="I22" s="44">
        <f t="shared" si="2"/>
        <v>0.93594578680203055</v>
      </c>
      <c r="J22" s="45">
        <f t="shared" si="3"/>
        <v>0.39635878235249417</v>
      </c>
      <c r="K22" s="128">
        <f t="shared" si="4"/>
        <v>1527242628.6475754</v>
      </c>
      <c r="L22" s="129">
        <f t="shared" si="5"/>
        <v>1.5505001306066755</v>
      </c>
    </row>
    <row r="23" spans="1:12" ht="22.5" customHeight="1">
      <c r="A23" s="62" t="str">
        <f>+'S&amp;D'!A25</f>
        <v>NEXTERA ENERGY INC</v>
      </c>
      <c r="B23" s="89" t="str">
        <f>+'S&amp;D'!B25</f>
        <v>NEE</v>
      </c>
      <c r="C23" s="65">
        <f>+'Growth &amp; Inflation Rates'!$D$56</f>
        <v>2.2800000000000001E-2</v>
      </c>
      <c r="D23" s="268">
        <f>138852000000+25632000000</f>
        <v>164484000000</v>
      </c>
      <c r="E23" s="268">
        <f>125776000000+26900000000</f>
        <v>152676000000</v>
      </c>
      <c r="F23" s="127">
        <f>(D23+E23)/2</f>
        <v>158580000000</v>
      </c>
      <c r="G23" s="127">
        <v>5462000000</v>
      </c>
      <c r="H23" s="18">
        <f t="shared" si="0"/>
        <v>29.033321127792018</v>
      </c>
      <c r="I23" s="44">
        <f t="shared" ref="I23" si="6">+C23*H23</f>
        <v>0.66195972171365802</v>
      </c>
      <c r="J23" s="45">
        <f t="shared" ref="J23" si="7">1/(1+C23)^H23</f>
        <v>0.51968825389201512</v>
      </c>
      <c r="K23" s="128">
        <f t="shared" ref="K23" si="8">(G23*I23)/(1-J23)</f>
        <v>7527661002.0424662</v>
      </c>
      <c r="L23" s="129">
        <f t="shared" ref="L23" si="9">+K23/G23</f>
        <v>1.3781876605716707</v>
      </c>
    </row>
    <row r="24" spans="1:12" ht="22.5" customHeight="1">
      <c r="A24" s="62" t="str">
        <f>+'S&amp;D'!A26</f>
        <v>NRG ENERGY</v>
      </c>
      <c r="B24" s="89" t="str">
        <f>+'S&amp;D'!B26</f>
        <v>NRG</v>
      </c>
      <c r="C24" s="65">
        <f>+'Growth &amp; Inflation Rates'!$D$56</f>
        <v>2.2800000000000001E-2</v>
      </c>
      <c r="D24" s="268">
        <v>5406000000</v>
      </c>
      <c r="E24" s="268">
        <v>3529000000</v>
      </c>
      <c r="F24" s="127">
        <f t="shared" si="1"/>
        <v>4467500000</v>
      </c>
      <c r="G24" s="127">
        <v>1406000000</v>
      </c>
      <c r="H24" s="18">
        <f t="shared" si="0"/>
        <v>3.1774537695590328</v>
      </c>
      <c r="I24" s="44">
        <f t="shared" si="2"/>
        <v>7.2445945945945944E-2</v>
      </c>
      <c r="J24" s="45">
        <f t="shared" si="3"/>
        <v>0.93087301740300277</v>
      </c>
      <c r="K24" s="128">
        <f t="shared" si="4"/>
        <v>1473505658.330653</v>
      </c>
      <c r="L24" s="129">
        <f t="shared" si="5"/>
        <v>1.0480125592678897</v>
      </c>
    </row>
    <row r="25" spans="1:12" ht="22.5" customHeight="1">
      <c r="A25" s="62" t="str">
        <f>+'S&amp;D'!A27</f>
        <v>SOUTHERN COMPANY</v>
      </c>
      <c r="B25" s="89" t="str">
        <f>+'S&amp;D'!B27</f>
        <v>SO</v>
      </c>
      <c r="C25" s="65">
        <f>+'Growth &amp; Inflation Rates'!$D$56</f>
        <v>2.2800000000000001E-2</v>
      </c>
      <c r="D25" s="268">
        <f>114369000000+43483000000</f>
        <v>157852000000</v>
      </c>
      <c r="E25" s="268">
        <v>3529000000</v>
      </c>
      <c r="F25" s="127">
        <f t="shared" si="1"/>
        <v>80690500000</v>
      </c>
      <c r="G25" s="268">
        <v>5501000000</v>
      </c>
      <c r="H25" s="18">
        <f t="shared" si="0"/>
        <v>14.668333030358117</v>
      </c>
      <c r="I25" s="44">
        <f t="shared" si="2"/>
        <v>0.33443799309216504</v>
      </c>
      <c r="J25" s="45">
        <f t="shared" si="3"/>
        <v>0.71843332292244277</v>
      </c>
      <c r="K25" s="128">
        <f t="shared" si="4"/>
        <v>6533952877.8586426</v>
      </c>
      <c r="L25" s="129">
        <f t="shared" si="5"/>
        <v>1.1877754731609966</v>
      </c>
    </row>
    <row r="26" spans="1:12" ht="22.5" customHeight="1">
      <c r="A26" s="62" t="str">
        <f>+'S&amp;D'!A28</f>
        <v>VISTRA ENERGY CORPORATION</v>
      </c>
      <c r="B26" s="89" t="str">
        <f>+'S&amp;D'!B28</f>
        <v>VST</v>
      </c>
      <c r="C26" s="65">
        <f>+'Growth &amp; Inflation Rates'!$D$56</f>
        <v>2.2800000000000001E-2</v>
      </c>
      <c r="D26" s="268">
        <f>19846000000+704000000+9273000000</f>
        <v>29823000000</v>
      </c>
      <c r="E26" s="268">
        <f>23546000000+153000000+1060000000</f>
        <v>24759000000</v>
      </c>
      <c r="F26" s="127">
        <f t="shared" si="1"/>
        <v>27291000000</v>
      </c>
      <c r="G26" s="127">
        <v>1986000000</v>
      </c>
      <c r="H26" s="18">
        <f t="shared" ref="H26" si="10">+F26/G26</f>
        <v>13.741691842900302</v>
      </c>
      <c r="I26" s="44">
        <f t="shared" si="2"/>
        <v>0.3133105740181269</v>
      </c>
      <c r="J26" s="45">
        <f t="shared" si="3"/>
        <v>0.73359937340188608</v>
      </c>
      <c r="K26" s="128">
        <f t="shared" si="4"/>
        <v>2335710722.4026527</v>
      </c>
      <c r="L26" s="129">
        <f t="shared" si="5"/>
        <v>1.1760879770406107</v>
      </c>
    </row>
    <row r="27" spans="1:12" ht="22.5" customHeight="1" thickBot="1">
      <c r="A27" s="12"/>
      <c r="B27" s="12"/>
      <c r="D27" s="46"/>
      <c r="E27" s="46"/>
      <c r="F27" s="46"/>
      <c r="G27" s="46" t="s">
        <v>50</v>
      </c>
      <c r="H27" s="46"/>
      <c r="I27" s="46" t="s">
        <v>50</v>
      </c>
      <c r="J27" s="46"/>
      <c r="K27" s="46"/>
      <c r="L27" s="46"/>
    </row>
    <row r="28" spans="1:12" ht="22.5" customHeight="1" thickTop="1">
      <c r="A28" s="12"/>
      <c r="B28" s="12"/>
      <c r="D28" s="47" t="s">
        <v>0</v>
      </c>
      <c r="E28" s="34" t="s">
        <v>0</v>
      </c>
      <c r="F28" s="34"/>
      <c r="G28" s="47" t="s">
        <v>0</v>
      </c>
      <c r="H28" s="34"/>
      <c r="I28" s="47" t="s">
        <v>0</v>
      </c>
      <c r="J28" s="47" t="s">
        <v>0</v>
      </c>
      <c r="K28" s="14" t="s">
        <v>51</v>
      </c>
      <c r="L28" s="265">
        <f>MAX(L20:L26)</f>
        <v>1.5666418044761092</v>
      </c>
    </row>
    <row r="29" spans="1:12" ht="22.5" customHeight="1">
      <c r="B29" s="12"/>
      <c r="D29" s="34" t="s">
        <v>0</v>
      </c>
      <c r="E29" s="34" t="s">
        <v>0</v>
      </c>
      <c r="F29" s="34"/>
      <c r="G29" s="468" t="s">
        <v>0</v>
      </c>
      <c r="H29" s="34"/>
      <c r="I29" s="47"/>
      <c r="J29" s="47"/>
      <c r="K29" s="14" t="s">
        <v>52</v>
      </c>
      <c r="L29" s="266">
        <f>MIN(L20:L26)</f>
        <v>1.0480125592678897</v>
      </c>
    </row>
    <row r="30" spans="1:12" ht="22.5" customHeight="1">
      <c r="B30" s="12"/>
      <c r="C30" s="12"/>
      <c r="D30" s="269" t="s">
        <v>0</v>
      </c>
      <c r="E30" s="12" t="s">
        <v>0</v>
      </c>
      <c r="F30" s="12"/>
      <c r="G30" s="12" t="s">
        <v>0</v>
      </c>
      <c r="H30" s="12"/>
      <c r="I30" s="12"/>
      <c r="J30" s="12"/>
      <c r="K30" s="14" t="s">
        <v>18</v>
      </c>
      <c r="L30" s="54">
        <f>MEDIAN(L20:L26)</f>
        <v>1.3781876605716707</v>
      </c>
    </row>
    <row r="31" spans="1:12" ht="22.5" customHeight="1">
      <c r="A31" s="12"/>
      <c r="B31" s="12"/>
      <c r="C31" s="12"/>
      <c r="D31" s="12" t="s">
        <v>0</v>
      </c>
      <c r="E31" s="12"/>
      <c r="F31" s="12"/>
      <c r="G31" s="12"/>
      <c r="H31" s="12"/>
      <c r="I31" s="12"/>
      <c r="J31" s="12"/>
      <c r="K31" s="14" t="s">
        <v>375</v>
      </c>
      <c r="L31" s="54">
        <f>AVERAGE(L20:L26)</f>
        <v>1.3357236379184632</v>
      </c>
    </row>
    <row r="32" spans="1:12" ht="22.5" customHeight="1" thickBot="1">
      <c r="A32" s="12"/>
      <c r="B32" s="12"/>
      <c r="C32" s="12"/>
      <c r="D32" s="12"/>
      <c r="E32" s="12"/>
      <c r="F32" s="12"/>
      <c r="G32" s="12" t="s">
        <v>0</v>
      </c>
      <c r="H32" s="12"/>
      <c r="I32" s="12"/>
      <c r="J32" s="12"/>
      <c r="K32" s="12"/>
      <c r="L32" s="12"/>
    </row>
    <row r="33" spans="1:12" ht="22.5" customHeight="1" thickBo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79" t="s">
        <v>212</v>
      </c>
      <c r="L33" s="322">
        <v>1.3357000000000001</v>
      </c>
    </row>
    <row r="34" spans="1:12" ht="16.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6.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20.25">
      <c r="A36" s="30" t="s">
        <v>82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6.5">
      <c r="A37" s="12" t="s">
        <v>255</v>
      </c>
    </row>
    <row r="38" spans="1:12" ht="16.5">
      <c r="A38" s="12"/>
    </row>
    <row r="39" spans="1:12" ht="16.5">
      <c r="A39" s="12" t="s">
        <v>350</v>
      </c>
    </row>
    <row r="40" spans="1:12" ht="20.25">
      <c r="A40" s="208"/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</row>
    <row r="41" spans="1:12" ht="26.25">
      <c r="A41" s="24" t="s">
        <v>1</v>
      </c>
      <c r="B41" s="12"/>
      <c r="C41" s="12"/>
      <c r="D41" s="12"/>
      <c r="E41" s="12"/>
      <c r="F41" s="12"/>
      <c r="G41" s="12"/>
      <c r="H41" s="12"/>
      <c r="I41" s="12"/>
      <c r="J41" s="12"/>
      <c r="K41" s="208"/>
      <c r="L41" s="208"/>
    </row>
    <row r="42" spans="1:12" ht="20.25">
      <c r="A42" s="25" t="s">
        <v>9</v>
      </c>
      <c r="B42" s="12"/>
      <c r="C42" s="12"/>
      <c r="D42" s="12"/>
      <c r="E42" s="12"/>
      <c r="F42" s="12"/>
      <c r="G42" s="12"/>
      <c r="H42" s="12"/>
      <c r="I42" s="12"/>
      <c r="J42" s="12"/>
      <c r="K42" s="208"/>
      <c r="L42" s="208"/>
    </row>
    <row r="43" spans="1:12" ht="20.25">
      <c r="A43" s="26" t="s">
        <v>479</v>
      </c>
      <c r="B43" s="12"/>
      <c r="C43" s="12"/>
      <c r="D43" s="12"/>
      <c r="E43" s="12"/>
      <c r="F43" s="12"/>
      <c r="G43" s="12"/>
      <c r="H43" s="12"/>
      <c r="I43" s="12"/>
      <c r="J43" s="12"/>
      <c r="K43" s="208"/>
      <c r="L43" s="208"/>
    </row>
    <row r="44" spans="1:12" ht="20.25">
      <c r="A44" s="26"/>
      <c r="B44" s="12"/>
      <c r="C44" s="12"/>
      <c r="D44" s="12"/>
      <c r="E44" s="12"/>
      <c r="F44" s="12"/>
      <c r="G44" s="12"/>
      <c r="H44" s="12"/>
      <c r="I44" s="12"/>
      <c r="J44" s="12"/>
      <c r="K44" s="208"/>
      <c r="L44" s="208"/>
    </row>
    <row r="45" spans="1:12" ht="20.25">
      <c r="A45" s="26"/>
      <c r="B45" s="12"/>
      <c r="C45" s="12"/>
      <c r="D45" s="12"/>
      <c r="E45" s="12"/>
      <c r="F45" s="12"/>
      <c r="G45" s="12"/>
      <c r="H45" s="12"/>
      <c r="I45" s="12"/>
      <c r="J45" s="12"/>
      <c r="K45" s="208"/>
      <c r="L45" s="208"/>
    </row>
    <row r="46" spans="1:12" ht="20.25">
      <c r="A46" s="26"/>
      <c r="B46" s="12"/>
      <c r="C46" s="12"/>
      <c r="D46" s="12"/>
      <c r="E46" s="12"/>
      <c r="F46" s="12"/>
      <c r="G46" s="12"/>
      <c r="H46" s="12"/>
      <c r="I46" s="12"/>
      <c r="J46" s="12"/>
      <c r="K46" s="208"/>
      <c r="L46" s="208"/>
    </row>
    <row r="47" spans="1:12" ht="21" thickBot="1">
      <c r="A47" s="12"/>
      <c r="B47" s="12"/>
      <c r="C47" s="12"/>
      <c r="D47" s="12"/>
      <c r="E47" s="12"/>
      <c r="F47" s="29"/>
      <c r="G47" s="29"/>
      <c r="H47" s="467" t="s">
        <v>0</v>
      </c>
      <c r="I47" s="12"/>
      <c r="J47" s="12"/>
      <c r="K47" s="208"/>
      <c r="L47" s="208"/>
    </row>
    <row r="48" spans="1:12" ht="27" thickBot="1">
      <c r="A48" s="28" t="s">
        <v>42</v>
      </c>
      <c r="B48" s="12"/>
      <c r="C48" s="12"/>
      <c r="D48" s="12"/>
      <c r="E48" s="12"/>
      <c r="F48" s="12"/>
      <c r="G48" s="31" t="s">
        <v>277</v>
      </c>
      <c r="H48" s="12"/>
      <c r="I48" s="12"/>
      <c r="J48" s="12"/>
      <c r="K48" s="208"/>
      <c r="L48" s="208"/>
    </row>
    <row r="49" spans="1:12" ht="21" thickBot="1">
      <c r="A49" s="40" t="s">
        <v>0</v>
      </c>
      <c r="B49" s="40" t="s">
        <v>0</v>
      </c>
      <c r="C49" s="40" t="s">
        <v>0</v>
      </c>
      <c r="D49" s="12"/>
      <c r="E49" s="12"/>
      <c r="F49" s="33" t="s">
        <v>0</v>
      </c>
      <c r="G49" s="36" t="s">
        <v>492</v>
      </c>
      <c r="H49" s="33" t="s">
        <v>0</v>
      </c>
      <c r="I49" s="40" t="s">
        <v>0</v>
      </c>
      <c r="J49" s="12"/>
      <c r="K49" s="208"/>
      <c r="L49" s="208"/>
    </row>
    <row r="50" spans="1:12" ht="20.25">
      <c r="A50" s="208"/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</row>
    <row r="51" spans="1:12" ht="20.25">
      <c r="A51" s="208"/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</row>
    <row r="52" spans="1:12" ht="20.25">
      <c r="A52" s="208"/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</row>
    <row r="53" spans="1:12" ht="16.5">
      <c r="A53" s="40"/>
      <c r="B53" s="40"/>
      <c r="C53" s="40"/>
      <c r="D53" s="12"/>
      <c r="E53" s="12"/>
      <c r="J53" s="12"/>
      <c r="K53" s="12"/>
      <c r="L53" s="12"/>
    </row>
    <row r="54" spans="1:12" ht="31.5">
      <c r="A54" s="202" t="s">
        <v>266</v>
      </c>
      <c r="B54" s="40"/>
      <c r="C54" s="204" t="s">
        <v>271</v>
      </c>
      <c r="D54" s="12"/>
      <c r="E54" s="12"/>
      <c r="J54" s="12"/>
      <c r="K54" s="12"/>
      <c r="L54" s="12"/>
    </row>
    <row r="55" spans="1:12" ht="31.5">
      <c r="A55" s="202" t="s">
        <v>270</v>
      </c>
      <c r="B55" s="40"/>
      <c r="C55" s="204" t="s">
        <v>276</v>
      </c>
      <c r="D55" s="12"/>
      <c r="E55" s="12"/>
      <c r="J55" s="12"/>
      <c r="K55" s="12"/>
      <c r="L55" s="12"/>
    </row>
    <row r="56" spans="1:12" ht="18.75" customHeight="1">
      <c r="A56" s="202"/>
      <c r="B56" s="40"/>
      <c r="C56" s="204"/>
      <c r="D56" s="12"/>
      <c r="E56" s="12"/>
      <c r="J56" s="12"/>
      <c r="K56" s="12"/>
      <c r="L56" s="12"/>
    </row>
    <row r="57" spans="1:12" ht="17.25">
      <c r="A57" s="203" t="s">
        <v>267</v>
      </c>
      <c r="B57" s="40"/>
      <c r="C57" s="40"/>
      <c r="D57" s="12"/>
      <c r="E57" s="12"/>
      <c r="J57" s="12"/>
      <c r="K57" s="12"/>
      <c r="L57" s="12"/>
    </row>
    <row r="58" spans="1:12" ht="17.25">
      <c r="A58" s="203" t="s">
        <v>268</v>
      </c>
      <c r="B58" s="40"/>
      <c r="C58" s="40"/>
      <c r="D58" s="12"/>
      <c r="E58" s="12"/>
      <c r="J58" s="12"/>
      <c r="K58" s="12"/>
      <c r="L58" s="12"/>
    </row>
    <row r="59" spans="1:12" ht="17.25">
      <c r="A59" s="203" t="s">
        <v>269</v>
      </c>
      <c r="B59" s="40"/>
      <c r="C59" s="40"/>
      <c r="D59" s="12"/>
      <c r="E59" s="12"/>
      <c r="J59" s="12"/>
      <c r="K59" s="12"/>
      <c r="L59" s="12"/>
    </row>
    <row r="65" spans="1:9" ht="31.5">
      <c r="A65" s="205" t="s">
        <v>275</v>
      </c>
      <c r="B65" s="108"/>
      <c r="C65" s="108"/>
      <c r="D65" s="108"/>
      <c r="E65" s="108"/>
      <c r="F65" s="108"/>
      <c r="G65" s="12"/>
      <c r="H65" s="12"/>
      <c r="I65" s="12"/>
    </row>
    <row r="66" spans="1:9" ht="17.25">
      <c r="A66" s="108"/>
      <c r="B66" s="108"/>
      <c r="C66" s="108"/>
      <c r="D66" s="108"/>
      <c r="E66" s="108"/>
      <c r="F66" s="108"/>
      <c r="G66" s="12"/>
      <c r="H66" s="12"/>
      <c r="I66" s="12"/>
    </row>
    <row r="67" spans="1:9" ht="18" thickBot="1">
      <c r="A67" s="206" t="s">
        <v>272</v>
      </c>
      <c r="B67" s="109"/>
      <c r="C67" s="109"/>
      <c r="D67" s="207" t="s">
        <v>274</v>
      </c>
      <c r="E67" s="109"/>
      <c r="F67" s="108"/>
      <c r="G67" s="12"/>
      <c r="H67" s="12"/>
      <c r="I67" s="12"/>
    </row>
    <row r="68" spans="1:9" ht="17.25">
      <c r="A68" s="108"/>
      <c r="B68" s="108"/>
      <c r="C68" s="108"/>
      <c r="D68" s="108" t="s">
        <v>273</v>
      </c>
      <c r="E68" s="108"/>
      <c r="F68" s="108"/>
      <c r="G68" s="12"/>
      <c r="H68" s="12"/>
      <c r="I68" s="12"/>
    </row>
    <row r="69" spans="1:9" ht="17.25">
      <c r="A69" s="108"/>
      <c r="B69" s="108"/>
      <c r="C69" s="108"/>
      <c r="D69" s="108"/>
      <c r="E69" s="108"/>
      <c r="F69" s="108"/>
      <c r="G69" s="12"/>
      <c r="H69" s="12"/>
      <c r="I69" s="12"/>
    </row>
    <row r="70" spans="1:9" ht="16.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.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6.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.5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6.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6.5">
      <c r="A75" s="12" t="s">
        <v>0</v>
      </c>
      <c r="B75" s="12"/>
      <c r="C75" s="12"/>
      <c r="D75" s="12"/>
      <c r="E75" s="12"/>
      <c r="F75" s="12"/>
      <c r="G75" s="12"/>
      <c r="H75" s="12"/>
      <c r="I75" s="12"/>
    </row>
    <row r="76" spans="1:9" ht="16.5">
      <c r="A76" s="12"/>
      <c r="B76" s="12"/>
      <c r="C76" s="12"/>
      <c r="D76" s="12"/>
      <c r="E76" s="12"/>
      <c r="F76" s="12"/>
      <c r="G76" s="12"/>
      <c r="H76" s="12"/>
      <c r="I76" s="12"/>
    </row>
  </sheetData>
  <pageMargins left="0.25" right="0.25" top="0.75" bottom="0.75" header="0.3" footer="0.3"/>
  <pageSetup scale="51" orientation="landscape" r:id="rId1"/>
  <rowBreaks count="1" manualBreakCount="1">
    <brk id="39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H34"/>
  <sheetViews>
    <sheetView view="pageBreakPreview" zoomScale="60" zoomScaleNormal="80" workbookViewId="0">
      <selection activeCell="H31" sqref="H31"/>
    </sheetView>
  </sheetViews>
  <sheetFormatPr defaultRowHeight="15"/>
  <cols>
    <col min="1" max="1" width="52.85546875" customWidth="1"/>
    <col min="2" max="2" width="17" customWidth="1"/>
    <col min="3" max="3" width="27" customWidth="1"/>
    <col min="4" max="4" width="16.85546875" customWidth="1"/>
    <col min="5" max="5" width="25.7109375" customWidth="1"/>
    <col min="6" max="6" width="25" customWidth="1"/>
    <col min="7" max="7" width="21.28515625" customWidth="1"/>
    <col min="8" max="8" width="35" customWidth="1"/>
    <col min="9" max="9" width="14.140625" bestFit="1" customWidth="1"/>
    <col min="11" max="11" width="10.5703125" customWidth="1"/>
  </cols>
  <sheetData>
    <row r="1" spans="1:8" ht="26.25">
      <c r="A1" s="24" t="s">
        <v>1</v>
      </c>
      <c r="B1" s="12"/>
      <c r="C1" s="12"/>
      <c r="D1" s="12"/>
      <c r="E1" s="12"/>
      <c r="F1" s="12"/>
      <c r="G1" s="12"/>
      <c r="H1" s="12"/>
    </row>
    <row r="2" spans="1:8" ht="17.25">
      <c r="A2" s="25" t="s">
        <v>9</v>
      </c>
      <c r="B2" s="12"/>
      <c r="C2" s="12"/>
      <c r="D2" s="12"/>
      <c r="E2" s="12"/>
      <c r="F2" s="12"/>
      <c r="G2" s="12"/>
      <c r="H2" s="12"/>
    </row>
    <row r="3" spans="1:8" ht="16.5">
      <c r="A3" s="26" t="s">
        <v>479</v>
      </c>
      <c r="B3" s="12"/>
      <c r="C3" s="12"/>
      <c r="D3" s="12"/>
      <c r="E3" s="12"/>
      <c r="F3" s="12"/>
      <c r="G3" s="12"/>
      <c r="H3" s="12"/>
    </row>
    <row r="4" spans="1:8" ht="16.5">
      <c r="A4" s="26"/>
      <c r="B4" s="12"/>
      <c r="C4" s="12"/>
      <c r="D4" s="12"/>
      <c r="E4" s="12"/>
      <c r="F4" s="12"/>
      <c r="G4" s="12"/>
      <c r="H4" s="12"/>
    </row>
    <row r="5" spans="1:8" ht="16.5">
      <c r="A5" s="26"/>
      <c r="B5" s="12"/>
      <c r="C5" s="12"/>
      <c r="D5" s="12"/>
      <c r="E5" s="12"/>
      <c r="F5" s="12"/>
      <c r="G5" s="12"/>
      <c r="H5" s="12"/>
    </row>
    <row r="6" spans="1:8" ht="16.5">
      <c r="A6" s="26"/>
      <c r="B6" s="12"/>
      <c r="C6" s="12"/>
      <c r="D6" s="12"/>
      <c r="E6" s="12"/>
      <c r="F6" s="12"/>
      <c r="G6" s="12"/>
      <c r="H6" s="12"/>
    </row>
    <row r="7" spans="1:8" ht="17.25" thickBot="1">
      <c r="A7" s="12"/>
      <c r="B7" s="12"/>
      <c r="C7" s="12"/>
      <c r="H7" s="12"/>
    </row>
    <row r="8" spans="1:8" ht="21" thickBot="1">
      <c r="A8" s="235" t="str">
        <f>+'S&amp;D'!A12</f>
        <v>Electric Wholesale (non-regulated) Power Generator</v>
      </c>
      <c r="B8" s="173"/>
      <c r="C8" s="12"/>
      <c r="D8" s="29"/>
      <c r="E8" s="29"/>
      <c r="F8" s="29"/>
      <c r="H8" s="12"/>
    </row>
    <row r="9" spans="1:8" ht="26.25">
      <c r="A9" s="30"/>
      <c r="B9" s="12"/>
      <c r="C9" s="12"/>
      <c r="D9" s="12"/>
      <c r="E9" s="31" t="s">
        <v>128</v>
      </c>
      <c r="F9" s="31"/>
      <c r="H9" s="12"/>
    </row>
    <row r="10" spans="1:8" ht="21" thickBot="1">
      <c r="A10" s="30"/>
      <c r="B10" s="12"/>
      <c r="C10" s="12"/>
      <c r="D10" s="29"/>
      <c r="E10" s="36" t="s">
        <v>492</v>
      </c>
      <c r="F10" s="36"/>
      <c r="H10" s="12"/>
    </row>
    <row r="11" spans="1:8" ht="20.25">
      <c r="A11" s="30"/>
      <c r="B11" s="12"/>
      <c r="H11" s="12"/>
    </row>
    <row r="12" spans="1:8" ht="17.25" thickBot="1">
      <c r="A12" s="33" t="s">
        <v>0</v>
      </c>
      <c r="B12" s="33" t="s">
        <v>0</v>
      </c>
      <c r="C12" s="33" t="s">
        <v>0</v>
      </c>
      <c r="D12" s="33" t="s">
        <v>0</v>
      </c>
      <c r="E12" s="33" t="s">
        <v>0</v>
      </c>
      <c r="F12" s="33"/>
      <c r="G12" s="33"/>
      <c r="H12" s="29"/>
    </row>
    <row r="13" spans="1:8" ht="17.25">
      <c r="A13" s="89" t="s">
        <v>0</v>
      </c>
      <c r="B13" s="89" t="s">
        <v>3</v>
      </c>
      <c r="C13" s="89" t="s">
        <v>5</v>
      </c>
      <c r="D13" s="89" t="s">
        <v>21</v>
      </c>
      <c r="E13" s="163" t="s">
        <v>231</v>
      </c>
      <c r="F13" s="163" t="s">
        <v>314</v>
      </c>
      <c r="G13" s="89" t="s">
        <v>20</v>
      </c>
      <c r="H13" s="89" t="s">
        <v>149</v>
      </c>
    </row>
    <row r="14" spans="1:8" ht="18" thickBot="1">
      <c r="A14" s="97" t="s">
        <v>2</v>
      </c>
      <c r="B14" s="97" t="s">
        <v>4</v>
      </c>
      <c r="C14" s="97" t="s">
        <v>6</v>
      </c>
      <c r="D14" s="97" t="s">
        <v>23</v>
      </c>
      <c r="E14" s="97" t="s">
        <v>315</v>
      </c>
      <c r="F14" s="97" t="s">
        <v>193</v>
      </c>
      <c r="G14" s="97" t="s">
        <v>22</v>
      </c>
      <c r="H14" s="97" t="s">
        <v>126</v>
      </c>
    </row>
    <row r="15" spans="1:8">
      <c r="A15" s="38" t="s">
        <v>7</v>
      </c>
      <c r="B15" s="38" t="s">
        <v>7</v>
      </c>
      <c r="C15" s="38" t="s">
        <v>7</v>
      </c>
      <c r="D15" s="38" t="s">
        <v>7</v>
      </c>
      <c r="E15" s="198" t="s">
        <v>480</v>
      </c>
      <c r="F15" s="198" t="s">
        <v>480</v>
      </c>
      <c r="G15" s="38" t="s">
        <v>7</v>
      </c>
      <c r="H15" s="198" t="s">
        <v>480</v>
      </c>
    </row>
    <row r="16" spans="1:8" ht="16.5">
      <c r="A16" s="34"/>
      <c r="B16" s="34"/>
      <c r="C16" s="34"/>
      <c r="D16" s="34"/>
      <c r="G16" s="34"/>
      <c r="H16" s="34"/>
    </row>
    <row r="17" spans="1:8" ht="16.5">
      <c r="A17" s="12"/>
      <c r="B17" s="12"/>
      <c r="C17" s="12"/>
      <c r="D17" s="12"/>
      <c r="G17" s="12"/>
      <c r="H17" s="12"/>
    </row>
    <row r="18" spans="1:8" ht="20.25" customHeight="1">
      <c r="A18" s="62" t="str">
        <f>+'S&amp;D'!A22</f>
        <v>AES CORPORATION</v>
      </c>
      <c r="B18" s="89" t="str">
        <f>+'S&amp;D'!B22</f>
        <v>AES</v>
      </c>
      <c r="C18" s="89" t="str">
        <f>+'S&amp;D'!C22</f>
        <v>Power Electric</v>
      </c>
      <c r="D18" s="371">
        <v>0.21</v>
      </c>
      <c r="E18" s="131">
        <v>0.28999999999999998</v>
      </c>
      <c r="F18" s="131">
        <v>0.2</v>
      </c>
      <c r="G18" s="89" t="s">
        <v>508</v>
      </c>
      <c r="H18" s="295">
        <v>1.25</v>
      </c>
    </row>
    <row r="19" spans="1:8" ht="20.25" customHeight="1">
      <c r="A19" s="62" t="str">
        <f>+'S&amp;D'!A23</f>
        <v>DOMINION ENERGY INC</v>
      </c>
      <c r="B19" s="89" t="str">
        <f>+'S&amp;D'!B23</f>
        <v>D</v>
      </c>
      <c r="C19" s="89" t="str">
        <f>+'S&amp;D'!C23</f>
        <v>Electric - East</v>
      </c>
      <c r="D19" s="132">
        <v>0.17</v>
      </c>
      <c r="E19" s="131">
        <v>0.11</v>
      </c>
      <c r="F19" s="131">
        <v>0.03</v>
      </c>
      <c r="G19" s="89" t="s">
        <v>24</v>
      </c>
      <c r="H19" s="295">
        <v>0.8</v>
      </c>
    </row>
    <row r="20" spans="1:8" ht="20.25" customHeight="1">
      <c r="A20" s="62" t="str">
        <f>+'S&amp;D'!A24</f>
        <v>CONSTELLATION ENERGY GENERATION LLC</v>
      </c>
      <c r="B20" s="89" t="str">
        <f>+'S&amp;D'!B24</f>
        <v>CEG</v>
      </c>
      <c r="C20" s="89" t="str">
        <f>+'S&amp;D'!C24</f>
        <v>Power Electric</v>
      </c>
      <c r="D20" s="132">
        <v>0.25</v>
      </c>
      <c r="E20" s="131">
        <v>0.14000000000000001</v>
      </c>
      <c r="F20" s="131">
        <v>0.12</v>
      </c>
      <c r="G20" s="89" t="s">
        <v>508</v>
      </c>
      <c r="H20" s="295">
        <v>1.2</v>
      </c>
    </row>
    <row r="21" spans="1:8" ht="20.25" customHeight="1">
      <c r="A21" s="62" t="str">
        <f>+'S&amp;D'!A25</f>
        <v>NEXTERA ENERGY INC</v>
      </c>
      <c r="B21" s="89" t="str">
        <f>+'S&amp;D'!B25</f>
        <v>NEE</v>
      </c>
      <c r="C21" s="89" t="str">
        <f>+'S&amp;D'!C25</f>
        <v>Electric - East</v>
      </c>
      <c r="D21" s="132">
        <v>0.05</v>
      </c>
      <c r="E21" s="131">
        <v>0.14000000000000001</v>
      </c>
      <c r="F21" s="131">
        <v>5.5E-2</v>
      </c>
      <c r="G21" s="89" t="s">
        <v>49</v>
      </c>
      <c r="H21" s="295">
        <v>0.9</v>
      </c>
    </row>
    <row r="22" spans="1:8" ht="20.25" customHeight="1">
      <c r="A22" s="62" t="str">
        <f>+'S&amp;D'!A26</f>
        <v>NRG ENERGY</v>
      </c>
      <c r="B22" s="89" t="str">
        <f>+'S&amp;D'!B26</f>
        <v>NRG</v>
      </c>
      <c r="C22" s="89" t="str">
        <f>+'S&amp;D'!C26</f>
        <v>Power Electric</v>
      </c>
      <c r="D22" s="132">
        <v>0.245</v>
      </c>
      <c r="E22" s="131">
        <v>0.82</v>
      </c>
      <c r="F22" s="131">
        <v>0.61499999999999999</v>
      </c>
      <c r="G22" s="89" t="s">
        <v>508</v>
      </c>
      <c r="H22" s="295">
        <v>1.1499999999999999</v>
      </c>
    </row>
    <row r="23" spans="1:8" ht="20.25" customHeight="1">
      <c r="A23" s="62" t="str">
        <f>+'S&amp;D'!A27</f>
        <v>SOUTHERN COMPANY</v>
      </c>
      <c r="B23" s="89" t="str">
        <f>+'S&amp;D'!B27</f>
        <v>SO</v>
      </c>
      <c r="C23" s="89" t="str">
        <f>+'S&amp;D'!C27</f>
        <v>Electric - East</v>
      </c>
      <c r="D23" s="132">
        <v>0.15</v>
      </c>
      <c r="E23" s="131">
        <v>0.13</v>
      </c>
      <c r="F23" s="131">
        <v>3.5000000000000003E-2</v>
      </c>
      <c r="G23" s="89" t="s">
        <v>24</v>
      </c>
      <c r="H23" s="295">
        <v>0.65</v>
      </c>
    </row>
    <row r="24" spans="1:8" ht="20.25" customHeight="1" thickBot="1">
      <c r="A24" s="62" t="str">
        <f>+'S&amp;D'!A28</f>
        <v>VISTRA ENERGY CORPORATION</v>
      </c>
      <c r="B24" s="89" t="str">
        <f>+'S&amp;D'!B28</f>
        <v>VST</v>
      </c>
      <c r="C24" s="89" t="str">
        <f>+'S&amp;D'!C28</f>
        <v>Power Electric</v>
      </c>
      <c r="D24" s="132">
        <v>0.23</v>
      </c>
      <c r="E24" s="131">
        <v>0.48499999999999999</v>
      </c>
      <c r="F24" s="131">
        <v>0.435</v>
      </c>
      <c r="G24" s="89" t="s">
        <v>508</v>
      </c>
      <c r="H24" s="298">
        <v>1.2</v>
      </c>
    </row>
    <row r="25" spans="1:8" ht="20.25" customHeight="1" thickTop="1">
      <c r="A25" s="108"/>
      <c r="B25" s="108"/>
      <c r="C25" s="4"/>
      <c r="D25" s="159" t="s">
        <v>0</v>
      </c>
      <c r="E25" s="4"/>
      <c r="F25" s="4"/>
      <c r="G25" s="116" t="s">
        <v>51</v>
      </c>
      <c r="H25" s="263">
        <f>MAX(H18:H24)</f>
        <v>1.25</v>
      </c>
    </row>
    <row r="26" spans="1:8" ht="20.25" customHeight="1">
      <c r="A26" s="108"/>
      <c r="B26" s="108"/>
      <c r="C26" s="4"/>
      <c r="D26" s="159" t="s">
        <v>0</v>
      </c>
      <c r="E26" s="4"/>
      <c r="F26" s="4"/>
      <c r="G26" s="271" t="s">
        <v>52</v>
      </c>
      <c r="H26" s="278">
        <f>MIN(H18:H24)</f>
        <v>0.65</v>
      </c>
    </row>
    <row r="27" spans="1:8" ht="20.25" customHeight="1">
      <c r="A27" s="108"/>
      <c r="B27" s="108"/>
      <c r="C27" s="4"/>
      <c r="D27" s="160" t="s">
        <v>0</v>
      </c>
      <c r="E27" s="4"/>
      <c r="F27" s="4"/>
      <c r="G27" s="116" t="s">
        <v>18</v>
      </c>
      <c r="H27" s="161">
        <f>MEDIAN(H18:H24)</f>
        <v>1.1499999999999999</v>
      </c>
    </row>
    <row r="28" spans="1:8" ht="20.25" customHeight="1">
      <c r="A28" s="108"/>
      <c r="B28" s="108"/>
      <c r="C28" s="4"/>
      <c r="D28" s="119" t="s">
        <v>0</v>
      </c>
      <c r="E28" s="4"/>
      <c r="F28" s="4"/>
      <c r="G28" s="116" t="s">
        <v>375</v>
      </c>
      <c r="H28" s="162">
        <f>AVERAGE(H18:H24)</f>
        <v>1.0214285714285716</v>
      </c>
    </row>
    <row r="29" spans="1:8" ht="20.25" customHeight="1" thickBot="1">
      <c r="A29" s="12"/>
      <c r="B29" s="12"/>
      <c r="C29" s="12"/>
      <c r="D29" s="12"/>
      <c r="G29" s="12"/>
      <c r="H29" s="12"/>
    </row>
    <row r="30" spans="1:8" ht="20.25" customHeight="1" thickBot="1">
      <c r="A30" s="12"/>
      <c r="B30" s="12"/>
      <c r="C30" s="12"/>
      <c r="D30" s="12"/>
      <c r="G30" s="179" t="s">
        <v>84</v>
      </c>
      <c r="H30" s="267">
        <v>1.02</v>
      </c>
    </row>
    <row r="33" spans="1:1" ht="17.25">
      <c r="A33" s="108" t="s">
        <v>316</v>
      </c>
    </row>
    <row r="34" spans="1:1" ht="17.25">
      <c r="A34" s="108" t="s">
        <v>317</v>
      </c>
    </row>
  </sheetData>
  <pageMargins left="0.25" right="0.25" top="0.75" bottom="0.75" header="0.3" footer="0.3"/>
  <pageSetup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30"/>
  <sheetViews>
    <sheetView view="pageBreakPreview" topLeftCell="A4" zoomScale="60" zoomScaleNormal="80" workbookViewId="0">
      <selection activeCell="F6" sqref="F6"/>
    </sheetView>
  </sheetViews>
  <sheetFormatPr defaultRowHeight="15"/>
  <cols>
    <col min="1" max="1" width="56.28515625" customWidth="1"/>
    <col min="2" max="2" width="10.85546875" customWidth="1"/>
    <col min="3" max="3" width="23.7109375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7.25">
      <c r="A2" s="25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16.5">
      <c r="A4" s="26"/>
      <c r="B4" s="12"/>
      <c r="C4" s="12"/>
      <c r="D4" s="12"/>
      <c r="E4" s="12"/>
      <c r="F4" s="12"/>
      <c r="G4" s="12"/>
      <c r="H4" s="12"/>
      <c r="I4" s="12"/>
      <c r="J4" s="12"/>
    </row>
    <row r="5" spans="1:11" ht="17.25" thickBot="1">
      <c r="A5" s="12"/>
      <c r="B5" s="12"/>
      <c r="C5" s="12"/>
      <c r="D5" s="12"/>
      <c r="E5" s="12"/>
      <c r="F5" s="12"/>
      <c r="G5" s="27"/>
      <c r="H5" s="12"/>
      <c r="I5" s="12"/>
      <c r="J5" s="12"/>
    </row>
    <row r="6" spans="1:11" ht="21" thickBot="1">
      <c r="A6" s="235" t="str">
        <f>+'S&amp;D'!A12</f>
        <v>Electric Wholesale (non-regulated) Power Generator</v>
      </c>
      <c r="B6" s="173"/>
      <c r="C6" s="12"/>
      <c r="D6" s="29"/>
      <c r="E6" s="29"/>
      <c r="F6" s="467" t="s">
        <v>0</v>
      </c>
      <c r="G6" s="12"/>
      <c r="H6" s="12"/>
      <c r="I6" s="12"/>
      <c r="J6" s="12"/>
    </row>
    <row r="7" spans="1:11" ht="26.25">
      <c r="A7" s="30"/>
      <c r="B7" s="12"/>
      <c r="C7" s="12"/>
      <c r="D7" s="12"/>
      <c r="E7" s="31" t="s">
        <v>262</v>
      </c>
      <c r="F7" s="12"/>
      <c r="G7" s="12"/>
      <c r="H7" s="12"/>
      <c r="I7" s="12"/>
      <c r="J7" s="12"/>
    </row>
    <row r="8" spans="1:11" ht="21" thickBot="1">
      <c r="A8" s="30"/>
      <c r="B8" s="12"/>
      <c r="C8" s="12"/>
      <c r="D8" s="29"/>
      <c r="E8" s="36" t="s">
        <v>492</v>
      </c>
      <c r="F8" s="29"/>
      <c r="G8" s="12"/>
      <c r="H8" s="12"/>
      <c r="I8" s="12"/>
      <c r="J8" s="12"/>
    </row>
    <row r="9" spans="1:11" ht="17.25" thickBot="1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  <c r="F9" s="33"/>
      <c r="G9" s="29"/>
      <c r="H9" s="29"/>
      <c r="I9" s="29"/>
      <c r="J9" s="29"/>
      <c r="K9" s="142"/>
    </row>
    <row r="10" spans="1:11" ht="16.5">
      <c r="A10" s="34" t="s">
        <v>0</v>
      </c>
      <c r="B10" s="34" t="s">
        <v>3</v>
      </c>
      <c r="C10" s="34" t="s">
        <v>5</v>
      </c>
      <c r="D10" s="34" t="s">
        <v>166</v>
      </c>
      <c r="E10" s="34" t="s">
        <v>173</v>
      </c>
      <c r="F10" s="34" t="s">
        <v>173</v>
      </c>
      <c r="G10" s="34" t="s">
        <v>173</v>
      </c>
      <c r="H10" s="34" t="s">
        <v>173</v>
      </c>
      <c r="I10" s="34" t="s">
        <v>173</v>
      </c>
      <c r="J10" s="34" t="s">
        <v>173</v>
      </c>
      <c r="K10" s="34" t="s">
        <v>259</v>
      </c>
    </row>
    <row r="11" spans="1:11" ht="16.5">
      <c r="A11" s="34"/>
      <c r="B11" s="34" t="s">
        <v>4</v>
      </c>
      <c r="C11" s="34" t="s">
        <v>6</v>
      </c>
      <c r="D11" s="34" t="s">
        <v>27</v>
      </c>
      <c r="E11" s="34" t="s">
        <v>168</v>
      </c>
      <c r="F11" s="34" t="s">
        <v>127</v>
      </c>
      <c r="G11" s="34" t="s">
        <v>168</v>
      </c>
      <c r="H11" s="34" t="s">
        <v>127</v>
      </c>
      <c r="I11" s="34" t="s">
        <v>168</v>
      </c>
      <c r="J11" s="34" t="s">
        <v>127</v>
      </c>
      <c r="K11" s="34" t="s">
        <v>184</v>
      </c>
    </row>
    <row r="12" spans="1:11" ht="17.25" thickBot="1">
      <c r="A12" s="36" t="s">
        <v>2</v>
      </c>
      <c r="B12" s="36" t="s">
        <v>0</v>
      </c>
      <c r="C12" s="36" t="s">
        <v>0</v>
      </c>
      <c r="D12" s="36" t="s">
        <v>0</v>
      </c>
      <c r="E12" s="36" t="s">
        <v>170</v>
      </c>
      <c r="F12" s="36" t="s">
        <v>170</v>
      </c>
      <c r="G12" s="36" t="s">
        <v>257</v>
      </c>
      <c r="H12" s="36" t="s">
        <v>257</v>
      </c>
      <c r="I12" s="36" t="s">
        <v>258</v>
      </c>
      <c r="J12" s="36" t="s">
        <v>258</v>
      </c>
      <c r="K12" s="200" t="s">
        <v>260</v>
      </c>
    </row>
    <row r="13" spans="1:11">
      <c r="A13" s="38" t="s">
        <v>7</v>
      </c>
      <c r="B13" s="38" t="s">
        <v>7</v>
      </c>
      <c r="C13" s="38" t="s">
        <v>7</v>
      </c>
      <c r="D13" s="39" t="s">
        <v>123</v>
      </c>
      <c r="E13" s="38" t="s">
        <v>7</v>
      </c>
      <c r="F13" s="38" t="s">
        <v>0</v>
      </c>
      <c r="G13" s="38" t="s">
        <v>7</v>
      </c>
      <c r="H13" s="38" t="s">
        <v>0</v>
      </c>
      <c r="I13" s="38" t="s">
        <v>7</v>
      </c>
      <c r="J13" s="38" t="s">
        <v>0</v>
      </c>
      <c r="K13" s="38" t="s">
        <v>0</v>
      </c>
    </row>
    <row r="14" spans="1:11" ht="16.5">
      <c r="A14" s="34"/>
      <c r="B14" s="34"/>
      <c r="C14" s="34"/>
      <c r="D14" s="34"/>
      <c r="E14" s="34"/>
      <c r="F14" s="34"/>
      <c r="G14" s="12"/>
      <c r="H14" s="12"/>
      <c r="I14" s="12"/>
      <c r="J14" s="12"/>
      <c r="K14" s="12"/>
    </row>
    <row r="15" spans="1:11" ht="16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7.25">
      <c r="A16" s="62" t="str">
        <f>+'S&amp;D'!A22</f>
        <v>AES CORPORATION</v>
      </c>
      <c r="B16" s="89" t="str">
        <f>+'S&amp;D'!B22</f>
        <v>AES</v>
      </c>
      <c r="C16" s="89" t="str">
        <f>+'S&amp;D'!C22</f>
        <v>Power Electric</v>
      </c>
      <c r="D16" s="59">
        <f>+'S&amp;D'!G22</f>
        <v>9.42</v>
      </c>
      <c r="E16" s="296">
        <v>2.1</v>
      </c>
      <c r="F16" s="53">
        <f>+E16/D16</f>
        <v>0.22292993630573249</v>
      </c>
      <c r="G16" s="296">
        <v>2.2000000000000002</v>
      </c>
      <c r="H16" s="53">
        <f>+G16/D16</f>
        <v>0.23354564755838644</v>
      </c>
      <c r="I16" s="296">
        <v>3</v>
      </c>
      <c r="J16" s="53">
        <f>+I16/D16</f>
        <v>0.31847133757961782</v>
      </c>
      <c r="K16" s="297">
        <f t="shared" ref="K16:K22" si="0">RATE(3,,-G16,I16)</f>
        <v>0.10891823393038808</v>
      </c>
    </row>
    <row r="17" spans="1:11" ht="17.25">
      <c r="A17" s="62" t="str">
        <f>+'S&amp;D'!A23</f>
        <v>DOMINION ENERGY INC</v>
      </c>
      <c r="B17" s="89" t="str">
        <f>+'S&amp;D'!B23</f>
        <v>D</v>
      </c>
      <c r="C17" s="89" t="str">
        <f>+'S&amp;D'!C23</f>
        <v>Electric - East</v>
      </c>
      <c r="D17" s="59">
        <f>+'S&amp;D'!G23</f>
        <v>58.59</v>
      </c>
      <c r="E17" s="296">
        <v>3.6</v>
      </c>
      <c r="F17" s="53">
        <f t="shared" ref="F17:F22" si="1">+E17/D17</f>
        <v>6.1443932411674347E-2</v>
      </c>
      <c r="G17" s="296">
        <v>3.85</v>
      </c>
      <c r="H17" s="53">
        <f t="shared" ref="H17:H22" si="2">+G17/D17</f>
        <v>6.5710872162485057E-2</v>
      </c>
      <c r="I17" s="296">
        <v>4.5999999999999996</v>
      </c>
      <c r="J17" s="53">
        <f t="shared" ref="J17:J22" si="3">+I17/D17</f>
        <v>7.8511691414917206E-2</v>
      </c>
      <c r="K17" s="297">
        <f t="shared" si="0"/>
        <v>6.1122933275889788E-2</v>
      </c>
    </row>
    <row r="18" spans="1:11" ht="17.25">
      <c r="A18" s="62" t="str">
        <f>+'S&amp;D'!A24</f>
        <v>CONSTELLATION ENERGY GENERATION LLC</v>
      </c>
      <c r="B18" s="89" t="str">
        <f>+'S&amp;D'!B24</f>
        <v>CEG</v>
      </c>
      <c r="C18" s="89" t="str">
        <f>+'S&amp;D'!C24</f>
        <v>Power Electric</v>
      </c>
      <c r="D18" s="59">
        <f>+'S&amp;D'!G24</f>
        <v>353.27</v>
      </c>
      <c r="E18" s="296">
        <v>11.5</v>
      </c>
      <c r="F18" s="53">
        <f t="shared" si="1"/>
        <v>3.2553004783876356E-2</v>
      </c>
      <c r="G18" s="296">
        <v>13.3</v>
      </c>
      <c r="H18" s="53">
        <f t="shared" si="2"/>
        <v>3.764825770657005E-2</v>
      </c>
      <c r="I18" s="296">
        <v>18.5</v>
      </c>
      <c r="J18" s="53">
        <f t="shared" si="3"/>
        <v>5.2367877261018485E-2</v>
      </c>
      <c r="K18" s="297">
        <f t="shared" si="0"/>
        <v>0.11628056231303287</v>
      </c>
    </row>
    <row r="19" spans="1:11" ht="17.25">
      <c r="A19" s="62" t="str">
        <f>+'S&amp;D'!A25</f>
        <v>NEXTERA ENERGY INC</v>
      </c>
      <c r="B19" s="89" t="str">
        <f>+'S&amp;D'!B25</f>
        <v>NEE</v>
      </c>
      <c r="C19" s="89" t="str">
        <f>+'S&amp;D'!C25</f>
        <v>Electric - East</v>
      </c>
      <c r="D19" s="59">
        <f>+'S&amp;D'!G25</f>
        <v>80.28</v>
      </c>
      <c r="E19" s="296">
        <v>4</v>
      </c>
      <c r="F19" s="53">
        <f t="shared" si="1"/>
        <v>4.9825610363726958E-2</v>
      </c>
      <c r="G19" s="296">
        <v>4.3499999999999996</v>
      </c>
      <c r="H19" s="53">
        <f t="shared" si="2"/>
        <v>5.4185351270553059E-2</v>
      </c>
      <c r="I19" s="296">
        <v>5.5</v>
      </c>
      <c r="J19" s="53">
        <f t="shared" si="3"/>
        <v>6.851021425012456E-2</v>
      </c>
      <c r="K19" s="297">
        <f t="shared" si="0"/>
        <v>8.1328901455465133E-2</v>
      </c>
    </row>
    <row r="20" spans="1:11" ht="17.25">
      <c r="A20" s="62" t="str">
        <f>+'S&amp;D'!A26</f>
        <v>NRG ENERGY</v>
      </c>
      <c r="B20" s="89" t="str">
        <f>+'S&amp;D'!B26</f>
        <v>NRG</v>
      </c>
      <c r="C20" s="89" t="str">
        <f>+'S&amp;D'!C26</f>
        <v>Power Electric</v>
      </c>
      <c r="D20" s="59">
        <f>+'S&amp;D'!G26</f>
        <v>159.24</v>
      </c>
      <c r="E20" s="296">
        <v>7.5</v>
      </c>
      <c r="F20" s="53">
        <f t="shared" si="1"/>
        <v>4.7098718914845517E-2</v>
      </c>
      <c r="G20" s="296">
        <v>8.5</v>
      </c>
      <c r="H20" s="53">
        <f t="shared" si="2"/>
        <v>5.3378548103491581E-2</v>
      </c>
      <c r="I20" s="296">
        <v>10.85</v>
      </c>
      <c r="J20" s="53">
        <f t="shared" si="3"/>
        <v>6.8136146696809841E-2</v>
      </c>
      <c r="K20" s="297">
        <f t="shared" si="0"/>
        <v>8.4768180345845309E-2</v>
      </c>
    </row>
    <row r="21" spans="1:11" ht="17.25">
      <c r="A21" s="62" t="str">
        <f>+'S&amp;D'!A27</f>
        <v>SOUTHERN COMPANY</v>
      </c>
      <c r="B21" s="89" t="str">
        <f>+'S&amp;D'!B27</f>
        <v>SO</v>
      </c>
      <c r="C21" s="89" t="str">
        <f>+'S&amp;D'!C27</f>
        <v>Electric - East</v>
      </c>
      <c r="D21" s="59">
        <f>+'S&amp;D'!G27</f>
        <v>87.2</v>
      </c>
      <c r="E21" s="296">
        <v>4.55</v>
      </c>
      <c r="F21" s="53">
        <f t="shared" si="1"/>
        <v>5.2178899082568807E-2</v>
      </c>
      <c r="G21" s="296">
        <v>4.8</v>
      </c>
      <c r="H21" s="53">
        <f t="shared" si="2"/>
        <v>5.5045871559633024E-2</v>
      </c>
      <c r="I21" s="296">
        <v>6</v>
      </c>
      <c r="J21" s="53">
        <f t="shared" si="3"/>
        <v>6.8807339449541288E-2</v>
      </c>
      <c r="K21" s="297">
        <f t="shared" si="0"/>
        <v>7.7217345015989369E-2</v>
      </c>
    </row>
    <row r="22" spans="1:11" ht="17.25">
      <c r="A22" s="62" t="str">
        <f>+'S&amp;D'!A28</f>
        <v>VISTRA ENERGY CORPORATION</v>
      </c>
      <c r="B22" s="89" t="str">
        <f>+'S&amp;D'!B28</f>
        <v>VST</v>
      </c>
      <c r="C22" s="89" t="str">
        <f>+'S&amp;D'!C28</f>
        <v>Power Electric</v>
      </c>
      <c r="D22" s="59">
        <f>+'S&amp;D'!G28</f>
        <v>161.33000000000001</v>
      </c>
      <c r="E22" s="296">
        <v>8.6999999999999993</v>
      </c>
      <c r="F22" s="53">
        <f t="shared" si="1"/>
        <v>5.3926734023430227E-2</v>
      </c>
      <c r="G22" s="296">
        <v>11.2</v>
      </c>
      <c r="H22" s="53">
        <f t="shared" si="2"/>
        <v>6.9422921961197537E-2</v>
      </c>
      <c r="I22" s="296">
        <v>17.100000000000001</v>
      </c>
      <c r="J22" s="53">
        <f t="shared" si="3"/>
        <v>0.1059939254943284</v>
      </c>
      <c r="K22" s="297">
        <f t="shared" si="0"/>
        <v>0.15148785725538336</v>
      </c>
    </row>
    <row r="23" spans="1:11" ht="17.25" thickBot="1">
      <c r="A23" s="12"/>
      <c r="B23" s="12"/>
      <c r="C23" s="43"/>
      <c r="D23" s="46"/>
      <c r="E23" s="46"/>
      <c r="F23" s="46"/>
      <c r="G23" s="46"/>
      <c r="H23" s="46"/>
      <c r="I23" s="46"/>
      <c r="J23" s="46"/>
      <c r="K23" s="46"/>
    </row>
    <row r="24" spans="1:11" ht="17.25" thickTop="1">
      <c r="A24" s="12"/>
      <c r="B24" s="12"/>
      <c r="D24" s="14" t="s">
        <v>51</v>
      </c>
      <c r="E24" s="16">
        <f>MAX(E16:E22)</f>
        <v>11.5</v>
      </c>
      <c r="F24" s="265">
        <f t="shared" ref="F24:K24" si="4">MAX(F16:F22)</f>
        <v>0.22292993630573249</v>
      </c>
      <c r="G24" s="16">
        <f t="shared" si="4"/>
        <v>13.3</v>
      </c>
      <c r="H24" s="265">
        <f t="shared" si="4"/>
        <v>0.23354564755838644</v>
      </c>
      <c r="I24" s="16">
        <f t="shared" si="4"/>
        <v>18.5</v>
      </c>
      <c r="J24" s="265">
        <f t="shared" si="4"/>
        <v>0.31847133757961782</v>
      </c>
      <c r="K24" s="265">
        <f t="shared" si="4"/>
        <v>0.15148785725538336</v>
      </c>
    </row>
    <row r="25" spans="1:11" ht="16.5">
      <c r="A25" s="12"/>
      <c r="B25" s="12"/>
      <c r="D25" s="14" t="s">
        <v>52</v>
      </c>
      <c r="E25" s="289">
        <f>MIN(E16:E22)</f>
        <v>2.1</v>
      </c>
      <c r="F25" s="266">
        <f t="shared" ref="F25:K25" si="5">MIN(F16:F22)</f>
        <v>3.2553004783876356E-2</v>
      </c>
      <c r="G25" s="289">
        <f t="shared" si="5"/>
        <v>2.2000000000000002</v>
      </c>
      <c r="H25" s="266">
        <f t="shared" si="5"/>
        <v>3.764825770657005E-2</v>
      </c>
      <c r="I25" s="289">
        <f t="shared" si="5"/>
        <v>3</v>
      </c>
      <c r="J25" s="266">
        <f t="shared" si="5"/>
        <v>5.2367877261018485E-2</v>
      </c>
      <c r="K25" s="266">
        <f t="shared" si="5"/>
        <v>6.1122933275889788E-2</v>
      </c>
    </row>
    <row r="26" spans="1:11" ht="16.5">
      <c r="A26" s="12"/>
      <c r="B26" s="12"/>
      <c r="D26" s="14" t="s">
        <v>18</v>
      </c>
      <c r="E26" s="17">
        <f t="shared" ref="E26:K26" si="6">MEDIAN(E16:E22)</f>
        <v>4.55</v>
      </c>
      <c r="F26" s="54">
        <f t="shared" si="6"/>
        <v>5.2178899082568807E-2</v>
      </c>
      <c r="G26" s="17">
        <f t="shared" si="6"/>
        <v>4.8</v>
      </c>
      <c r="H26" s="54">
        <f t="shared" si="6"/>
        <v>5.5045871559633024E-2</v>
      </c>
      <c r="I26" s="17">
        <f t="shared" si="6"/>
        <v>6</v>
      </c>
      <c r="J26" s="54">
        <f t="shared" si="6"/>
        <v>6.8807339449541288E-2</v>
      </c>
      <c r="K26" s="54">
        <f t="shared" si="6"/>
        <v>8.4768180345845309E-2</v>
      </c>
    </row>
    <row r="27" spans="1:11" ht="16.5">
      <c r="A27" s="12"/>
      <c r="B27" s="12"/>
      <c r="D27" s="14" t="s">
        <v>375</v>
      </c>
      <c r="E27" s="21">
        <f t="shared" ref="E27:K27" si="7">AVERAGE(E16:E22)</f>
        <v>5.9928571428571429</v>
      </c>
      <c r="F27" s="56">
        <f t="shared" si="7"/>
        <v>7.4279547983693517E-2</v>
      </c>
      <c r="G27" s="21">
        <f t="shared" si="7"/>
        <v>6.8857142857142861</v>
      </c>
      <c r="H27" s="56">
        <f t="shared" si="7"/>
        <v>8.1276781474616686E-2</v>
      </c>
      <c r="I27" s="21">
        <f t="shared" si="7"/>
        <v>9.3642857142857157</v>
      </c>
      <c r="J27" s="56">
        <f t="shared" si="7"/>
        <v>0.10868550459233682</v>
      </c>
      <c r="K27" s="56">
        <f t="shared" si="7"/>
        <v>9.7303430513141984E-2</v>
      </c>
    </row>
    <row r="28" spans="1:11" ht="16.5">
      <c r="A28" s="12"/>
      <c r="B28" s="12"/>
      <c r="D28" s="12"/>
      <c r="E28" s="12"/>
      <c r="F28" s="12"/>
      <c r="G28" s="12"/>
      <c r="H28" s="12"/>
      <c r="I28" s="12"/>
      <c r="J28" s="12"/>
      <c r="K28" s="12"/>
    </row>
    <row r="29" spans="1:11" ht="26.25">
      <c r="A29" s="12"/>
      <c r="B29" s="12"/>
      <c r="C29" s="12"/>
      <c r="D29" s="12"/>
      <c r="E29" s="12"/>
      <c r="F29" s="48" t="s">
        <v>0</v>
      </c>
      <c r="G29" s="63" t="s">
        <v>0</v>
      </c>
      <c r="H29" s="12"/>
      <c r="I29" s="12"/>
      <c r="J29" s="12"/>
      <c r="K29" s="12"/>
    </row>
    <row r="30" spans="1:11" ht="18.75">
      <c r="A30" s="201" t="s">
        <v>261</v>
      </c>
    </row>
  </sheetData>
  <pageMargins left="0.25" right="0.25" top="0.75" bottom="0.75" header="0.3" footer="0.3"/>
  <pageSetup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30"/>
  <sheetViews>
    <sheetView view="pageBreakPreview" zoomScale="60" zoomScaleNormal="80" workbookViewId="0">
      <selection activeCell="F6" sqref="F6"/>
    </sheetView>
  </sheetViews>
  <sheetFormatPr defaultRowHeight="15"/>
  <cols>
    <col min="1" max="1" width="52.85546875" customWidth="1"/>
    <col min="2" max="2" width="15.28515625" customWidth="1"/>
    <col min="3" max="3" width="24.7109375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7.25">
      <c r="A2" s="25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16.5">
      <c r="A4" s="26"/>
      <c r="B4" s="12"/>
      <c r="C4" s="12"/>
      <c r="D4" s="12"/>
      <c r="E4" s="12"/>
      <c r="F4" s="12"/>
      <c r="G4" s="12"/>
      <c r="H4" s="12"/>
      <c r="I4" s="12"/>
      <c r="J4" s="12"/>
    </row>
    <row r="5" spans="1:11" ht="17.25" thickBot="1">
      <c r="A5" s="12"/>
      <c r="B5" s="12"/>
      <c r="C5" s="12"/>
      <c r="D5" s="12"/>
      <c r="E5" s="12"/>
      <c r="F5" s="12"/>
      <c r="G5" s="27"/>
      <c r="H5" s="12"/>
      <c r="I5" s="12"/>
      <c r="J5" s="12"/>
    </row>
    <row r="6" spans="1:11" ht="21" thickBot="1">
      <c r="A6" s="235" t="str">
        <f>+'S&amp;D'!A12</f>
        <v>Electric Wholesale (non-regulated) Power Generator</v>
      </c>
      <c r="B6" s="173"/>
      <c r="C6" s="12"/>
      <c r="D6" s="29"/>
      <c r="E6" s="29"/>
      <c r="F6" s="467" t="s">
        <v>0</v>
      </c>
      <c r="G6" s="12"/>
      <c r="H6" s="12"/>
      <c r="I6" s="12"/>
      <c r="J6" s="12"/>
    </row>
    <row r="7" spans="1:11" ht="26.25">
      <c r="A7" s="30"/>
      <c r="B7" s="12"/>
      <c r="C7" s="12"/>
      <c r="D7" s="12"/>
      <c r="E7" s="31" t="s">
        <v>171</v>
      </c>
      <c r="F7" s="12"/>
      <c r="G7" s="12"/>
      <c r="H7" s="12"/>
      <c r="I7" s="12"/>
      <c r="J7" s="12"/>
    </row>
    <row r="8" spans="1:11" ht="21" thickBot="1">
      <c r="A8" s="30"/>
      <c r="B8" s="12"/>
      <c r="C8" s="12"/>
      <c r="D8" s="29"/>
      <c r="E8" s="36" t="s">
        <v>492</v>
      </c>
      <c r="F8" s="29"/>
      <c r="G8" s="12"/>
      <c r="H8" s="12"/>
      <c r="I8" s="12"/>
      <c r="J8" s="12"/>
    </row>
    <row r="9" spans="1:11" ht="17.25" thickBot="1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  <c r="F9" s="33"/>
      <c r="G9" s="29"/>
      <c r="H9" s="29"/>
      <c r="I9" s="29"/>
      <c r="J9" s="29"/>
      <c r="K9" s="142"/>
    </row>
    <row r="10" spans="1:11" ht="16.5">
      <c r="A10" s="34" t="s">
        <v>0</v>
      </c>
      <c r="B10" s="34" t="s">
        <v>3</v>
      </c>
      <c r="C10" s="34" t="s">
        <v>5</v>
      </c>
      <c r="D10" s="34" t="s">
        <v>166</v>
      </c>
      <c r="E10" s="34" t="s">
        <v>167</v>
      </c>
      <c r="F10" s="34" t="s">
        <v>169</v>
      </c>
      <c r="G10" s="34" t="s">
        <v>167</v>
      </c>
      <c r="H10" s="34" t="s">
        <v>169</v>
      </c>
      <c r="I10" s="34" t="s">
        <v>167</v>
      </c>
      <c r="J10" s="34" t="s">
        <v>169</v>
      </c>
      <c r="K10" s="34" t="s">
        <v>259</v>
      </c>
    </row>
    <row r="11" spans="1:11" ht="16.5">
      <c r="A11" s="34"/>
      <c r="B11" s="34" t="s">
        <v>4</v>
      </c>
      <c r="C11" s="34" t="s">
        <v>6</v>
      </c>
      <c r="D11" s="34" t="s">
        <v>27</v>
      </c>
      <c r="E11" s="34" t="s">
        <v>168</v>
      </c>
      <c r="F11" s="34" t="s">
        <v>127</v>
      </c>
      <c r="G11" s="34" t="s">
        <v>168</v>
      </c>
      <c r="H11" s="34" t="s">
        <v>127</v>
      </c>
      <c r="I11" s="34" t="s">
        <v>168</v>
      </c>
      <c r="J11" s="34" t="s">
        <v>127</v>
      </c>
      <c r="K11" s="34" t="s">
        <v>184</v>
      </c>
    </row>
    <row r="12" spans="1:11" ht="17.25" thickBot="1">
      <c r="A12" s="36" t="s">
        <v>2</v>
      </c>
      <c r="B12" s="36" t="s">
        <v>0</v>
      </c>
      <c r="C12" s="36" t="s">
        <v>0</v>
      </c>
      <c r="D12" s="36" t="s">
        <v>0</v>
      </c>
      <c r="E12" s="36" t="s">
        <v>170</v>
      </c>
      <c r="F12" s="36" t="s">
        <v>170</v>
      </c>
      <c r="G12" s="36" t="s">
        <v>257</v>
      </c>
      <c r="H12" s="36" t="s">
        <v>257</v>
      </c>
      <c r="I12" s="36" t="s">
        <v>258</v>
      </c>
      <c r="J12" s="36" t="s">
        <v>258</v>
      </c>
      <c r="K12" s="200" t="s">
        <v>260</v>
      </c>
    </row>
    <row r="13" spans="1:11">
      <c r="A13" s="38" t="s">
        <v>7</v>
      </c>
      <c r="B13" s="38" t="s">
        <v>7</v>
      </c>
      <c r="C13" s="38" t="s">
        <v>7</v>
      </c>
      <c r="D13" s="39" t="s">
        <v>123</v>
      </c>
      <c r="E13" s="38" t="s">
        <v>7</v>
      </c>
      <c r="F13" s="38" t="s">
        <v>0</v>
      </c>
      <c r="G13" s="38" t="s">
        <v>7</v>
      </c>
      <c r="H13" s="38" t="s">
        <v>0</v>
      </c>
      <c r="I13" s="38" t="s">
        <v>7</v>
      </c>
      <c r="J13" s="38" t="s">
        <v>0</v>
      </c>
      <c r="K13" s="38" t="s">
        <v>0</v>
      </c>
    </row>
    <row r="14" spans="1:11" ht="16.5">
      <c r="A14" s="34"/>
      <c r="B14" s="34"/>
      <c r="C14" s="34"/>
      <c r="D14" s="34"/>
      <c r="E14" s="34"/>
      <c r="F14" s="34"/>
      <c r="G14" s="12"/>
      <c r="H14" s="12"/>
      <c r="I14" s="12"/>
      <c r="J14" s="12"/>
      <c r="K14" s="12"/>
    </row>
    <row r="15" spans="1:11" ht="16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17.25">
      <c r="A16" s="62" t="str">
        <f>+'S&amp;D'!A22</f>
        <v>AES CORPORATION</v>
      </c>
      <c r="B16" s="89" t="str">
        <f>+'S&amp;D'!B22</f>
        <v>AES</v>
      </c>
      <c r="C16" s="89" t="str">
        <f>+'S&amp;D'!C22</f>
        <v>Power Electric</v>
      </c>
      <c r="D16" s="59">
        <f>+'S&amp;D'!G22</f>
        <v>9.42</v>
      </c>
      <c r="E16" s="61">
        <v>0.71</v>
      </c>
      <c r="F16" s="65">
        <f>+E16/D16</f>
        <v>7.5371549893842885E-2</v>
      </c>
      <c r="G16" s="61">
        <v>0.72</v>
      </c>
      <c r="H16" s="65">
        <f>+G16/D16</f>
        <v>7.6433121019108277E-2</v>
      </c>
      <c r="I16" s="61">
        <v>0.75</v>
      </c>
      <c r="J16" s="65">
        <f>+I16/D16</f>
        <v>7.9617834394904455E-2</v>
      </c>
      <c r="K16" s="199">
        <f>RATE(3,,-G16,I16)</f>
        <v>1.3700332595573338E-2</v>
      </c>
    </row>
    <row r="17" spans="1:11" ht="17.25">
      <c r="A17" s="62" t="str">
        <f>+'S&amp;D'!A23</f>
        <v>DOMINION ENERGY INC</v>
      </c>
      <c r="B17" s="89" t="str">
        <f>+'S&amp;D'!B23</f>
        <v>D</v>
      </c>
      <c r="C17" s="89" t="str">
        <f>+'S&amp;D'!C23</f>
        <v>Electric - East</v>
      </c>
      <c r="D17" s="59">
        <f>+'S&amp;D'!G23</f>
        <v>58.59</v>
      </c>
      <c r="E17" s="61">
        <v>2.67</v>
      </c>
      <c r="F17" s="65">
        <f t="shared" ref="F17:F22" si="0">+E17/D17</f>
        <v>4.5570916538658468E-2</v>
      </c>
      <c r="G17" s="61">
        <v>2.67</v>
      </c>
      <c r="H17" s="65">
        <f>+G17/D17</f>
        <v>4.5570916538658468E-2</v>
      </c>
      <c r="I17" s="61">
        <v>2.8</v>
      </c>
      <c r="J17" s="65">
        <f>+I17/D17</f>
        <v>4.7789725209080043E-2</v>
      </c>
      <c r="K17" s="199">
        <f>RATE(3,,-G17,I17)</f>
        <v>1.5973210905498348E-2</v>
      </c>
    </row>
    <row r="18" spans="1:11" ht="17.25">
      <c r="A18" s="62" t="str">
        <f>+'S&amp;D'!A24</f>
        <v>CONSTELLATION ENERGY GENERATION LLC</v>
      </c>
      <c r="B18" s="89" t="str">
        <f>+'S&amp;D'!B24</f>
        <v>CEG</v>
      </c>
      <c r="C18" s="89" t="str">
        <f>+'S&amp;D'!C24</f>
        <v>Power Electric</v>
      </c>
      <c r="D18" s="59">
        <f>+'S&amp;D'!G24</f>
        <v>353.27</v>
      </c>
      <c r="E18" s="61">
        <v>1.71</v>
      </c>
      <c r="F18" s="65">
        <f t="shared" si="0"/>
        <v>4.840490276559006E-3</v>
      </c>
      <c r="G18" s="61">
        <v>1.88</v>
      </c>
      <c r="H18" s="65">
        <f t="shared" ref="H18:H22" si="1">+G18/D18</f>
        <v>5.3217086081467435E-3</v>
      </c>
      <c r="I18" s="61">
        <v>2.5</v>
      </c>
      <c r="J18" s="65">
        <f t="shared" ref="J18:J22" si="2">+I18/D18</f>
        <v>7.0767401704079037E-3</v>
      </c>
      <c r="K18" s="199">
        <f t="shared" ref="K18:K22" si="3">RATE(3,,-G18,I18)</f>
        <v>9.9665803171091541E-2</v>
      </c>
    </row>
    <row r="19" spans="1:11" ht="17.25">
      <c r="A19" s="62" t="str">
        <f>+'S&amp;D'!A25</f>
        <v>NEXTERA ENERGY INC</v>
      </c>
      <c r="B19" s="89" t="str">
        <f>+'S&amp;D'!B25</f>
        <v>NEE</v>
      </c>
      <c r="C19" s="89" t="str">
        <f>+'S&amp;D'!C25</f>
        <v>Electric - East</v>
      </c>
      <c r="D19" s="59">
        <f>+'S&amp;D'!G25</f>
        <v>80.28</v>
      </c>
      <c r="E19" s="61">
        <v>2.5</v>
      </c>
      <c r="F19" s="65">
        <f t="shared" si="0"/>
        <v>3.1141006477329349E-2</v>
      </c>
      <c r="G19" s="61">
        <v>2.74</v>
      </c>
      <c r="H19" s="65">
        <f t="shared" si="1"/>
        <v>3.413054309915297E-2</v>
      </c>
      <c r="I19" s="61">
        <v>3.48</v>
      </c>
      <c r="J19" s="65">
        <f t="shared" si="2"/>
        <v>4.3348281016442454E-2</v>
      </c>
      <c r="K19" s="199">
        <f>RATE(3,,-G19,I19)</f>
        <v>8.2952879453198555E-2</v>
      </c>
    </row>
    <row r="20" spans="1:11" ht="17.25">
      <c r="A20" s="62" t="str">
        <f>+'S&amp;D'!A26</f>
        <v>NRG ENERGY</v>
      </c>
      <c r="B20" s="89" t="str">
        <f>+'S&amp;D'!B26</f>
        <v>NRG</v>
      </c>
      <c r="C20" s="89" t="str">
        <f>+'S&amp;D'!C26</f>
        <v>Power Electric</v>
      </c>
      <c r="D20" s="59">
        <f>+'S&amp;D'!G26</f>
        <v>159.24</v>
      </c>
      <c r="E20" s="61">
        <v>1.88</v>
      </c>
      <c r="F20" s="65">
        <f t="shared" si="0"/>
        <v>1.1806078874654609E-2</v>
      </c>
      <c r="G20" s="61">
        <v>2.02</v>
      </c>
      <c r="H20" s="65">
        <f t="shared" si="1"/>
        <v>1.2685254961065059E-2</v>
      </c>
      <c r="I20" s="61">
        <v>2.56</v>
      </c>
      <c r="J20" s="65">
        <f t="shared" si="2"/>
        <v>1.6076362722933935E-2</v>
      </c>
      <c r="K20" s="199">
        <f t="shared" si="3"/>
        <v>8.2171765192756166E-2</v>
      </c>
    </row>
    <row r="21" spans="1:11" ht="17.25">
      <c r="A21" s="62" t="str">
        <f>+'S&amp;D'!A27</f>
        <v>SOUTHERN COMPANY</v>
      </c>
      <c r="B21" s="89" t="str">
        <f>+'S&amp;D'!B27</f>
        <v>SO</v>
      </c>
      <c r="C21" s="89" t="str">
        <f>+'S&amp;D'!C27</f>
        <v>Electric - East</v>
      </c>
      <c r="D21" s="59">
        <f>+'S&amp;D'!G27</f>
        <v>87.2</v>
      </c>
      <c r="E21" s="61">
        <v>3.04</v>
      </c>
      <c r="F21" s="65">
        <f t="shared" si="0"/>
        <v>3.4862385321100919E-2</v>
      </c>
      <c r="G21" s="61">
        <v>3.14</v>
      </c>
      <c r="H21" s="65">
        <f t="shared" si="1"/>
        <v>3.6009174311926608E-2</v>
      </c>
      <c r="I21" s="61">
        <v>3.44</v>
      </c>
      <c r="J21" s="65">
        <f t="shared" si="2"/>
        <v>3.9449541284403665E-2</v>
      </c>
      <c r="K21" s="199">
        <f t="shared" si="3"/>
        <v>3.0883522949269236E-2</v>
      </c>
    </row>
    <row r="22" spans="1:11" ht="17.25">
      <c r="A22" s="62" t="str">
        <f>+'S&amp;D'!A28</f>
        <v>VISTRA ENERGY CORPORATION</v>
      </c>
      <c r="B22" s="89" t="str">
        <f>+'S&amp;D'!B28</f>
        <v>VST</v>
      </c>
      <c r="C22" s="89" t="str">
        <f>+'S&amp;D'!C28</f>
        <v>Power Electric</v>
      </c>
      <c r="D22" s="59">
        <f>+'S&amp;D'!G28</f>
        <v>161.33000000000001</v>
      </c>
      <c r="E22" s="61">
        <v>0.92</v>
      </c>
      <c r="F22" s="65">
        <f t="shared" si="0"/>
        <v>5.7025971610983692E-3</v>
      </c>
      <c r="G22" s="61">
        <v>1</v>
      </c>
      <c r="H22" s="65">
        <f t="shared" si="1"/>
        <v>6.1984751751069231E-3</v>
      </c>
      <c r="I22" s="61">
        <v>1.56</v>
      </c>
      <c r="J22" s="65">
        <f t="shared" si="2"/>
        <v>9.6696212731667997E-3</v>
      </c>
      <c r="K22" s="199">
        <f t="shared" si="3"/>
        <v>0.15977799952979957</v>
      </c>
    </row>
    <row r="23" spans="1:11" ht="17.25" thickBot="1">
      <c r="A23" s="12"/>
      <c r="B23" s="12"/>
      <c r="C23" s="43"/>
      <c r="D23" s="46"/>
      <c r="E23" s="46"/>
      <c r="F23" s="46"/>
      <c r="G23" s="46"/>
      <c r="H23" s="46"/>
      <c r="I23" s="46"/>
      <c r="J23" s="46"/>
      <c r="K23" s="46"/>
    </row>
    <row r="24" spans="1:11" ht="17.25" thickTop="1">
      <c r="A24" s="12"/>
      <c r="B24" s="12"/>
      <c r="D24" s="14" t="s">
        <v>51</v>
      </c>
      <c r="E24" s="16">
        <f>MAX(E16:E22)</f>
        <v>3.04</v>
      </c>
      <c r="F24" s="265">
        <f t="shared" ref="F24:K24" si="4">MAX(F16:F22)</f>
        <v>7.5371549893842885E-2</v>
      </c>
      <c r="G24" s="16">
        <f t="shared" si="4"/>
        <v>3.14</v>
      </c>
      <c r="H24" s="265">
        <f t="shared" si="4"/>
        <v>7.6433121019108277E-2</v>
      </c>
      <c r="I24" s="16">
        <f t="shared" si="4"/>
        <v>3.48</v>
      </c>
      <c r="J24" s="265">
        <f t="shared" si="4"/>
        <v>7.9617834394904455E-2</v>
      </c>
      <c r="K24" s="265">
        <f t="shared" si="4"/>
        <v>0.15977799952979957</v>
      </c>
    </row>
    <row r="25" spans="1:11" ht="16.5">
      <c r="A25" s="12"/>
      <c r="B25" s="12"/>
      <c r="D25" s="14" t="s">
        <v>52</v>
      </c>
      <c r="E25" s="289">
        <f>MIN(E16:E22)</f>
        <v>0.71</v>
      </c>
      <c r="F25" s="266">
        <f t="shared" ref="F25:K25" si="5">MIN(F16:F22)</f>
        <v>4.840490276559006E-3</v>
      </c>
      <c r="G25" s="289">
        <f t="shared" si="5"/>
        <v>0.72</v>
      </c>
      <c r="H25" s="266">
        <f t="shared" si="5"/>
        <v>5.3217086081467435E-3</v>
      </c>
      <c r="I25" s="289">
        <f t="shared" si="5"/>
        <v>0.75</v>
      </c>
      <c r="J25" s="266">
        <f t="shared" si="5"/>
        <v>7.0767401704079037E-3</v>
      </c>
      <c r="K25" s="266">
        <f t="shared" si="5"/>
        <v>1.3700332595573338E-2</v>
      </c>
    </row>
    <row r="26" spans="1:11" ht="16.5">
      <c r="A26" s="12"/>
      <c r="B26" s="12"/>
      <c r="D26" s="14" t="s">
        <v>18</v>
      </c>
      <c r="E26" s="17">
        <f t="shared" ref="E26:K26" si="6">MEDIAN(E16:E22)</f>
        <v>1.88</v>
      </c>
      <c r="F26" s="54">
        <f t="shared" si="6"/>
        <v>3.1141006477329349E-2</v>
      </c>
      <c r="G26" s="17">
        <f t="shared" si="6"/>
        <v>2.02</v>
      </c>
      <c r="H26" s="54">
        <f t="shared" si="6"/>
        <v>3.413054309915297E-2</v>
      </c>
      <c r="I26" s="17">
        <f t="shared" si="6"/>
        <v>2.56</v>
      </c>
      <c r="J26" s="54">
        <f t="shared" si="6"/>
        <v>3.9449541284403665E-2</v>
      </c>
      <c r="K26" s="54">
        <f t="shared" si="6"/>
        <v>8.2171765192756166E-2</v>
      </c>
    </row>
    <row r="27" spans="1:11" ht="16.5">
      <c r="A27" s="12"/>
      <c r="B27" s="12"/>
      <c r="D27" s="14" t="s">
        <v>375</v>
      </c>
      <c r="E27" s="21">
        <f t="shared" ref="E27:K27" si="7">AVERAGE(E16:E22)</f>
        <v>1.9185714285714284</v>
      </c>
      <c r="F27" s="56">
        <f t="shared" si="7"/>
        <v>2.9899289220463369E-2</v>
      </c>
      <c r="G27" s="21">
        <f t="shared" si="7"/>
        <v>2.0242857142857145</v>
      </c>
      <c r="H27" s="56">
        <f t="shared" si="7"/>
        <v>3.0907027673309294E-2</v>
      </c>
      <c r="I27" s="21">
        <f t="shared" si="7"/>
        <v>2.4414285714285713</v>
      </c>
      <c r="J27" s="56">
        <f t="shared" si="7"/>
        <v>3.4718300867334184E-2</v>
      </c>
      <c r="K27" s="56">
        <f t="shared" si="7"/>
        <v>6.9303644828169531E-2</v>
      </c>
    </row>
    <row r="28" spans="1:11" ht="16.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26.25">
      <c r="A29" s="12"/>
      <c r="B29" s="12"/>
      <c r="C29" s="12"/>
      <c r="D29" s="12"/>
      <c r="E29" s="12"/>
      <c r="F29" s="48" t="s">
        <v>0</v>
      </c>
      <c r="G29" s="63" t="s">
        <v>0</v>
      </c>
      <c r="H29" s="12"/>
      <c r="I29" s="12"/>
      <c r="J29" s="12"/>
      <c r="K29" s="12"/>
    </row>
    <row r="30" spans="1:11" ht="18.75">
      <c r="A30" s="201" t="s">
        <v>261</v>
      </c>
    </row>
  </sheetData>
  <pageMargins left="0.25" right="0.25" top="0.75" bottom="0.75" header="0.3" footer="0.3"/>
  <pageSetup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59"/>
  <sheetViews>
    <sheetView view="pageBreakPreview" zoomScale="80" zoomScaleNormal="80" zoomScaleSheetLayoutView="80" workbookViewId="0">
      <selection activeCell="F6" sqref="F6"/>
    </sheetView>
  </sheetViews>
  <sheetFormatPr defaultRowHeight="15"/>
  <cols>
    <col min="1" max="1" width="52" customWidth="1"/>
    <col min="2" max="2" width="14.85546875" customWidth="1"/>
    <col min="3" max="3" width="23.85546875" customWidth="1"/>
    <col min="4" max="4" width="20.7109375" customWidth="1"/>
    <col min="5" max="5" width="21.85546875" customWidth="1"/>
    <col min="6" max="6" width="18" customWidth="1"/>
    <col min="7" max="7" width="12.28515625" customWidth="1"/>
    <col min="8" max="8" width="20.5703125" customWidth="1"/>
    <col min="9" max="9" width="12.42578125" customWidth="1"/>
    <col min="10" max="11" width="20.5703125" customWidth="1"/>
    <col min="12" max="12" width="26.5703125" customWidth="1"/>
    <col min="13" max="13" width="15.42578125" customWidth="1"/>
  </cols>
  <sheetData>
    <row r="1" spans="1:13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7.25">
      <c r="A2" s="25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6.5">
      <c r="A4" s="26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7.25" thickBot="1">
      <c r="A5" s="12"/>
      <c r="B5" s="12"/>
      <c r="C5" s="12"/>
      <c r="D5" s="12"/>
      <c r="E5" s="12"/>
      <c r="F5" s="12"/>
      <c r="G5" s="27"/>
      <c r="H5" s="27"/>
      <c r="I5" s="12"/>
      <c r="J5" s="12"/>
      <c r="K5" s="12"/>
      <c r="L5" s="12"/>
      <c r="M5" s="12"/>
    </row>
    <row r="6" spans="1:13" ht="21" thickBot="1">
      <c r="A6" s="235" t="str">
        <f>+'S&amp;D'!A12</f>
        <v>Electric Wholesale (non-regulated) Power Generator</v>
      </c>
      <c r="B6" s="173"/>
      <c r="C6" s="12"/>
      <c r="D6" s="29"/>
      <c r="E6" s="29"/>
      <c r="F6" s="467" t="s">
        <v>0</v>
      </c>
      <c r="G6" s="12"/>
      <c r="H6" s="12"/>
      <c r="I6" s="12"/>
      <c r="J6" s="12"/>
      <c r="K6" s="12"/>
      <c r="L6" s="12"/>
      <c r="M6" s="12"/>
    </row>
    <row r="7" spans="1:13" ht="26.25">
      <c r="A7" s="30"/>
      <c r="B7" s="12"/>
      <c r="C7" s="12"/>
      <c r="D7" s="12"/>
      <c r="E7" s="31" t="s">
        <v>477</v>
      </c>
      <c r="F7" s="12"/>
      <c r="G7" s="12"/>
      <c r="H7" s="12"/>
      <c r="I7" s="12"/>
      <c r="J7" s="12"/>
      <c r="K7" s="12"/>
      <c r="L7" s="12"/>
      <c r="M7" s="12"/>
    </row>
    <row r="8" spans="1:13" ht="21" thickBot="1">
      <c r="A8" s="30"/>
      <c r="B8" s="12"/>
      <c r="C8" s="12"/>
      <c r="D8" s="29"/>
      <c r="E8" s="36" t="s">
        <v>492</v>
      </c>
      <c r="F8" s="29"/>
      <c r="G8" s="12"/>
      <c r="H8" s="12"/>
      <c r="I8" s="12"/>
      <c r="J8" s="12"/>
      <c r="K8" s="12"/>
      <c r="L8" s="12"/>
      <c r="M8" s="12"/>
    </row>
    <row r="9" spans="1:13" ht="17.25" thickBot="1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  <c r="F9" s="33" t="s">
        <v>0</v>
      </c>
      <c r="G9" s="33"/>
      <c r="H9" s="33"/>
      <c r="I9" s="33" t="s">
        <v>0</v>
      </c>
      <c r="J9" s="29"/>
      <c r="K9" s="12"/>
      <c r="L9" s="12"/>
      <c r="M9" s="12"/>
    </row>
    <row r="10" spans="1:13" ht="16.5">
      <c r="A10" s="34" t="s">
        <v>0</v>
      </c>
      <c r="B10" s="34" t="s">
        <v>3</v>
      </c>
      <c r="C10" s="34" t="s">
        <v>5</v>
      </c>
      <c r="D10" s="34" t="s">
        <v>21</v>
      </c>
      <c r="E10" s="34" t="s">
        <v>20</v>
      </c>
      <c r="F10" s="34" t="s">
        <v>57</v>
      </c>
      <c r="G10" s="34" t="s">
        <v>135</v>
      </c>
      <c r="H10" s="34" t="s">
        <v>507</v>
      </c>
      <c r="I10" s="34" t="s">
        <v>135</v>
      </c>
      <c r="J10" s="34" t="s">
        <v>54</v>
      </c>
      <c r="K10" s="12"/>
      <c r="L10" s="12"/>
      <c r="M10" s="12"/>
    </row>
    <row r="11" spans="1:13" ht="17.25" thickBot="1">
      <c r="A11" s="36" t="s">
        <v>2</v>
      </c>
      <c r="B11" s="36" t="s">
        <v>4</v>
      </c>
      <c r="C11" s="36" t="s">
        <v>6</v>
      </c>
      <c r="D11" s="36" t="s">
        <v>23</v>
      </c>
      <c r="E11" s="36" t="s">
        <v>22</v>
      </c>
      <c r="F11" s="36" t="s">
        <v>55</v>
      </c>
      <c r="G11" s="36" t="s">
        <v>55</v>
      </c>
      <c r="H11" s="36" t="s">
        <v>55</v>
      </c>
      <c r="I11" s="36" t="s">
        <v>55</v>
      </c>
      <c r="J11" s="36" t="s">
        <v>56</v>
      </c>
      <c r="K11" s="12"/>
      <c r="L11" s="12"/>
      <c r="M11" s="12"/>
    </row>
    <row r="12" spans="1:13" ht="16.5">
      <c r="A12" s="38" t="s">
        <v>7</v>
      </c>
      <c r="B12" s="38" t="s">
        <v>7</v>
      </c>
      <c r="C12" s="38" t="s">
        <v>7</v>
      </c>
      <c r="D12" s="38" t="s">
        <v>7</v>
      </c>
      <c r="E12" s="38" t="s">
        <v>7</v>
      </c>
      <c r="F12" s="38" t="s">
        <v>57</v>
      </c>
      <c r="G12" s="38"/>
      <c r="H12" s="38" t="s">
        <v>475</v>
      </c>
      <c r="I12" s="38"/>
      <c r="J12" s="38" t="s">
        <v>54</v>
      </c>
      <c r="K12" s="12"/>
      <c r="L12" s="12"/>
      <c r="M12" s="12"/>
    </row>
    <row r="13" spans="1:13" ht="16.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12"/>
      <c r="L13" s="12"/>
      <c r="M13" s="12"/>
    </row>
    <row r="14" spans="1:13" ht="16.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7.25">
      <c r="A15" s="62" t="str">
        <f>+'S&amp;D'!A22</f>
        <v>AES CORPORATION</v>
      </c>
      <c r="B15" s="89" t="str">
        <f>+'S&amp;D'!B22</f>
        <v>AES</v>
      </c>
      <c r="C15" s="89" t="str">
        <f>+'S&amp;D'!C22</f>
        <v>Power Electric</v>
      </c>
      <c r="D15" s="53">
        <f>+'Beta for CAPM'!D18</f>
        <v>0.21</v>
      </c>
      <c r="E15" s="34" t="str">
        <f>+'Beta for CAPM'!G18</f>
        <v>B++</v>
      </c>
      <c r="F15" s="34" t="s">
        <v>70</v>
      </c>
      <c r="G15" s="262">
        <v>12</v>
      </c>
      <c r="H15" s="61" t="s">
        <v>68</v>
      </c>
      <c r="I15" s="262">
        <f t="shared" ref="I15:I21" si="0">VLOOKUP(H15,$A$35:$E$58,2,0)</f>
        <v>12</v>
      </c>
      <c r="J15" s="65">
        <f>VLOOKUP(I15,$B$35:$E$58,3,0)</f>
        <v>5.8999999999999997E-2</v>
      </c>
      <c r="K15" s="12" t="s">
        <v>0</v>
      </c>
      <c r="L15" s="12"/>
      <c r="M15" s="12"/>
    </row>
    <row r="16" spans="1:13" ht="17.25">
      <c r="A16" s="62" t="str">
        <f>+'S&amp;D'!A23</f>
        <v>DOMINION ENERGY INC</v>
      </c>
      <c r="B16" s="89" t="str">
        <f>+'S&amp;D'!B23</f>
        <v>D</v>
      </c>
      <c r="C16" s="89" t="str">
        <f>+'S&amp;D'!C23</f>
        <v>Electric - East</v>
      </c>
      <c r="D16" s="53">
        <f>+'Beta for CAPM'!D19</f>
        <v>0.17</v>
      </c>
      <c r="E16" s="34" t="str">
        <f>+'Beta for CAPM'!G19</f>
        <v>A</v>
      </c>
      <c r="F16" s="34" t="s">
        <v>61</v>
      </c>
      <c r="G16" s="262">
        <v>10</v>
      </c>
      <c r="H16" s="61" t="s">
        <v>60</v>
      </c>
      <c r="I16" s="262">
        <f t="shared" si="0"/>
        <v>11</v>
      </c>
      <c r="J16" s="65">
        <f t="shared" ref="J16:J21" si="1">VLOOKUP(I16,$B$35:$E$58,3,0)</f>
        <v>5.8999999999999997E-2</v>
      </c>
      <c r="K16" s="12" t="s">
        <v>0</v>
      </c>
      <c r="L16" s="12"/>
      <c r="M16" s="12"/>
    </row>
    <row r="17" spans="1:13" ht="17.25">
      <c r="A17" s="62" t="str">
        <f>+'S&amp;D'!A24</f>
        <v>CONSTELLATION ENERGY GENERATION LLC</v>
      </c>
      <c r="B17" s="89" t="str">
        <f>+'S&amp;D'!B24</f>
        <v>CEG</v>
      </c>
      <c r="C17" s="89" t="str">
        <f>+'S&amp;D'!C24</f>
        <v>Power Electric</v>
      </c>
      <c r="D17" s="53">
        <f>+'Beta for CAPM'!D20</f>
        <v>0.25</v>
      </c>
      <c r="E17" s="34" t="str">
        <f>+'Beta for CAPM'!G20</f>
        <v>B++</v>
      </c>
      <c r="F17" s="34" t="s">
        <v>61</v>
      </c>
      <c r="G17" s="262">
        <v>10</v>
      </c>
      <c r="H17" s="61" t="s">
        <v>59</v>
      </c>
      <c r="I17" s="262">
        <f t="shared" si="0"/>
        <v>10</v>
      </c>
      <c r="J17" s="65">
        <f t="shared" si="1"/>
        <v>5.8999999999999997E-2</v>
      </c>
      <c r="K17" s="12" t="s">
        <v>0</v>
      </c>
      <c r="L17" s="12"/>
      <c r="M17" s="12"/>
    </row>
    <row r="18" spans="1:13" ht="17.25">
      <c r="A18" s="62" t="str">
        <f>+'S&amp;D'!A25</f>
        <v>NEXTERA ENERGY INC</v>
      </c>
      <c r="B18" s="89" t="str">
        <f>+'S&amp;D'!B25</f>
        <v>NEE</v>
      </c>
      <c r="C18" s="89" t="str">
        <f>+'S&amp;D'!C25</f>
        <v>Electric - East</v>
      </c>
      <c r="D18" s="53">
        <f>+'Beta for CAPM'!D21</f>
        <v>0.05</v>
      </c>
      <c r="E18" s="34" t="str">
        <f>+'Beta for CAPM'!G21</f>
        <v>A+</v>
      </c>
      <c r="F18" s="34" t="s">
        <v>69</v>
      </c>
      <c r="G18" s="262">
        <v>9</v>
      </c>
      <c r="H18" s="61" t="s">
        <v>59</v>
      </c>
      <c r="I18" s="262">
        <f t="shared" si="0"/>
        <v>10</v>
      </c>
      <c r="J18" s="65">
        <f t="shared" si="1"/>
        <v>5.8999999999999997E-2</v>
      </c>
      <c r="K18" s="12" t="s">
        <v>0</v>
      </c>
      <c r="L18" s="12"/>
      <c r="M18" s="12"/>
    </row>
    <row r="19" spans="1:13" ht="17.25">
      <c r="A19" s="62" t="str">
        <f>+'S&amp;D'!A26</f>
        <v>NRG ENERGY</v>
      </c>
      <c r="B19" s="89" t="str">
        <f>+'S&amp;D'!B26</f>
        <v>NRG</v>
      </c>
      <c r="C19" s="89" t="str">
        <f>+'S&amp;D'!C26</f>
        <v>Power Electric</v>
      </c>
      <c r="D19" s="53">
        <f>+'Beta for CAPM'!D22</f>
        <v>0.245</v>
      </c>
      <c r="E19" s="34" t="str">
        <f>+'Beta for CAPM'!G22</f>
        <v>B++</v>
      </c>
      <c r="F19" s="34" t="s">
        <v>306</v>
      </c>
      <c r="G19" s="262">
        <v>14</v>
      </c>
      <c r="H19" s="61" t="s">
        <v>66</v>
      </c>
      <c r="I19" s="262">
        <f t="shared" si="0"/>
        <v>13</v>
      </c>
      <c r="J19" s="65">
        <f t="shared" si="1"/>
        <v>8.1299999999999997E-2</v>
      </c>
      <c r="K19" s="12" t="s">
        <v>0</v>
      </c>
      <c r="L19" s="12"/>
      <c r="M19" s="12"/>
    </row>
    <row r="20" spans="1:13" ht="17.25">
      <c r="A20" s="62" t="str">
        <f>+'S&amp;D'!A27</f>
        <v>SOUTHERN COMPANY</v>
      </c>
      <c r="B20" s="89" t="str">
        <f>+'S&amp;D'!B27</f>
        <v>SO</v>
      </c>
      <c r="C20" s="89" t="str">
        <f>+'S&amp;D'!C27</f>
        <v>Electric - East</v>
      </c>
      <c r="D20" s="53">
        <f>+'Beta for CAPM'!D23</f>
        <v>0.15</v>
      </c>
      <c r="E20" s="34" t="str">
        <f>+'Beta for CAPM'!G23</f>
        <v>A</v>
      </c>
      <c r="F20" s="34" t="s">
        <v>69</v>
      </c>
      <c r="G20" s="262">
        <v>9</v>
      </c>
      <c r="H20" s="61" t="s">
        <v>60</v>
      </c>
      <c r="I20" s="262">
        <f t="shared" si="0"/>
        <v>11</v>
      </c>
      <c r="J20" s="65">
        <f t="shared" si="1"/>
        <v>5.8999999999999997E-2</v>
      </c>
      <c r="K20" s="12" t="s">
        <v>0</v>
      </c>
      <c r="L20" s="12"/>
      <c r="M20" s="12"/>
    </row>
    <row r="21" spans="1:13" ht="17.25">
      <c r="A21" s="62" t="str">
        <f>+'S&amp;D'!A28</f>
        <v>VISTRA ENERGY CORPORATION</v>
      </c>
      <c r="B21" s="89" t="str">
        <f>+'S&amp;D'!B28</f>
        <v>VST</v>
      </c>
      <c r="C21" s="89" t="str">
        <f>+'S&amp;D'!C28</f>
        <v>Power Electric</v>
      </c>
      <c r="D21" s="53">
        <f>+'Beta for CAPM'!D24</f>
        <v>0.23</v>
      </c>
      <c r="E21" s="34" t="str">
        <f>+'Beta for CAPM'!G24</f>
        <v>B++</v>
      </c>
      <c r="F21" s="34" t="s">
        <v>70</v>
      </c>
      <c r="G21" s="262">
        <v>12</v>
      </c>
      <c r="H21" s="61" t="s">
        <v>66</v>
      </c>
      <c r="I21" s="262">
        <f t="shared" si="0"/>
        <v>13</v>
      </c>
      <c r="J21" s="65">
        <f t="shared" si="1"/>
        <v>8.1299999999999997E-2</v>
      </c>
      <c r="K21" s="12" t="s">
        <v>0</v>
      </c>
      <c r="L21" s="12"/>
      <c r="M21" s="12"/>
    </row>
    <row r="22" spans="1:13" ht="17.25" thickBot="1">
      <c r="A22" s="12"/>
      <c r="B22" s="12"/>
      <c r="C22" s="43"/>
      <c r="D22" s="46"/>
      <c r="E22" s="46"/>
      <c r="F22" s="46"/>
      <c r="G22" s="257"/>
      <c r="H22" s="46" t="s">
        <v>50</v>
      </c>
      <c r="I22" s="46"/>
      <c r="J22" s="46"/>
      <c r="K22" s="12"/>
      <c r="L22" s="12"/>
      <c r="M22" s="12"/>
    </row>
    <row r="23" spans="1:13" ht="17.25" thickTop="1">
      <c r="A23" s="12"/>
      <c r="B23" s="12"/>
      <c r="E23" s="14" t="s">
        <v>51</v>
      </c>
      <c r="F23" s="34"/>
      <c r="G23" s="256">
        <f>+MAX(G15:G21)</f>
        <v>14</v>
      </c>
      <c r="I23" s="256">
        <f>+MAX(I15:I21)</f>
        <v>13</v>
      </c>
      <c r="J23" s="52">
        <f>+MAX(J15:J21)</f>
        <v>8.1299999999999997E-2</v>
      </c>
      <c r="K23" s="12"/>
      <c r="L23" s="12"/>
      <c r="M23" s="12"/>
    </row>
    <row r="24" spans="1:13" ht="16.5">
      <c r="A24" s="12"/>
      <c r="B24" s="12"/>
      <c r="E24" s="259" t="s">
        <v>52</v>
      </c>
      <c r="F24" s="122"/>
      <c r="G24" s="260">
        <f>MIN(G15:G21)</f>
        <v>9</v>
      </c>
      <c r="H24" s="217"/>
      <c r="I24" s="260">
        <f>MIN(I15:I21)</f>
        <v>10</v>
      </c>
      <c r="J24" s="261">
        <f>MIN(J15:J21)</f>
        <v>5.8999999999999997E-2</v>
      </c>
      <c r="K24" s="12"/>
      <c r="L24" s="12"/>
      <c r="M24" s="12"/>
    </row>
    <row r="25" spans="1:13" ht="16.5">
      <c r="A25" s="12"/>
      <c r="B25" s="12"/>
      <c r="E25" s="14" t="s">
        <v>18</v>
      </c>
      <c r="F25" s="55" t="s">
        <v>0</v>
      </c>
      <c r="G25" s="193">
        <f>MEDIAN(G15:G21)</f>
        <v>10</v>
      </c>
      <c r="I25" s="193">
        <f>MEDIAN(I15:I21)</f>
        <v>11</v>
      </c>
      <c r="J25" s="55">
        <f>MEDIAN(J15:J21)</f>
        <v>5.8999999999999997E-2</v>
      </c>
      <c r="K25" s="12"/>
      <c r="L25" s="12"/>
      <c r="M25" s="12"/>
    </row>
    <row r="26" spans="1:13" ht="16.5">
      <c r="A26" s="12"/>
      <c r="B26" s="12"/>
      <c r="D26" s="14" t="s">
        <v>0</v>
      </c>
      <c r="E26" s="14" t="s">
        <v>375</v>
      </c>
      <c r="F26" s="14"/>
      <c r="G26" s="194">
        <f>AVERAGE(G15:G21)</f>
        <v>10.857142857142858</v>
      </c>
      <c r="I26" s="194">
        <f>AVERAGE(I15:I21)</f>
        <v>11.428571428571429</v>
      </c>
      <c r="J26" s="55">
        <f>AVERAGE(J15:J21)</f>
        <v>6.5371428571428566E-2</v>
      </c>
      <c r="K26" s="12"/>
      <c r="L26" s="12"/>
      <c r="M26" s="12"/>
    </row>
    <row r="27" spans="1:13" ht="16.5">
      <c r="A27" s="12"/>
      <c r="B27" s="12"/>
      <c r="D27" s="56" t="s">
        <v>0</v>
      </c>
      <c r="E27" s="14"/>
      <c r="F27" s="14"/>
      <c r="G27" s="194"/>
      <c r="I27" s="194"/>
      <c r="J27" s="55"/>
      <c r="K27" s="12"/>
      <c r="L27" s="12"/>
      <c r="M27" s="12"/>
    </row>
    <row r="28" spans="1:13" ht="17.25" thickBot="1">
      <c r="A28" s="12"/>
      <c r="B28" s="12"/>
      <c r="C28" s="12"/>
      <c r="D28" s="12"/>
      <c r="E28" s="14"/>
      <c r="F28" s="56"/>
      <c r="G28" s="12"/>
      <c r="H28" s="12"/>
      <c r="I28" s="12"/>
      <c r="J28" s="12"/>
      <c r="K28" s="12"/>
      <c r="L28" s="12"/>
      <c r="M28" s="12"/>
    </row>
    <row r="29" spans="1:13" ht="27" thickBot="1">
      <c r="A29" s="12"/>
      <c r="B29" s="12"/>
      <c r="C29" s="12"/>
      <c r="D29" s="12"/>
      <c r="E29" s="12"/>
      <c r="F29" s="168"/>
      <c r="G29" s="258"/>
      <c r="H29" s="169" t="s">
        <v>241</v>
      </c>
      <c r="I29" s="279"/>
      <c r="J29" s="323">
        <v>6.54E-2</v>
      </c>
      <c r="K29" s="12"/>
      <c r="L29" s="12"/>
      <c r="M29" s="12"/>
    </row>
    <row r="30" spans="1:13" ht="16.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6.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16.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21" thickBot="1">
      <c r="A33" s="246" t="s">
        <v>148</v>
      </c>
      <c r="B33" s="12"/>
      <c r="G33" s="12"/>
      <c r="H33" s="12"/>
      <c r="I33" s="12"/>
      <c r="J33" s="12"/>
      <c r="K33" s="12" t="s">
        <v>0</v>
      </c>
      <c r="L33" s="12"/>
      <c r="M33" s="12"/>
    </row>
    <row r="34" spans="1:13" ht="24">
      <c r="A34" s="364" t="s">
        <v>476</v>
      </c>
      <c r="B34" s="364" t="s">
        <v>313</v>
      </c>
      <c r="C34" s="364" t="s">
        <v>377</v>
      </c>
      <c r="D34" s="374" t="s">
        <v>437</v>
      </c>
      <c r="E34" s="374" t="s">
        <v>438</v>
      </c>
      <c r="F34" s="12"/>
      <c r="G34" s="12"/>
      <c r="H34" s="12"/>
      <c r="I34" s="12"/>
      <c r="M34" s="12"/>
    </row>
    <row r="35" spans="1:13" ht="17.25">
      <c r="A35" s="251" t="s">
        <v>318</v>
      </c>
      <c r="B35" s="252">
        <v>1</v>
      </c>
      <c r="C35" s="253" t="s">
        <v>319</v>
      </c>
      <c r="D35" s="365">
        <v>5.3100000000000001E-2</v>
      </c>
      <c r="E35" s="365">
        <v>5.3100000000000001E-2</v>
      </c>
      <c r="F35" s="12"/>
      <c r="G35" s="12"/>
      <c r="H35" s="12"/>
      <c r="I35" s="12"/>
      <c r="M35" s="12"/>
    </row>
    <row r="36" spans="1:13" ht="17.25">
      <c r="A36" s="57" t="s">
        <v>320</v>
      </c>
      <c r="B36" s="247">
        <v>2</v>
      </c>
      <c r="C36" s="254" t="s">
        <v>301</v>
      </c>
      <c r="D36" s="365">
        <v>5.3100000000000001E-2</v>
      </c>
      <c r="E36" s="365">
        <v>5.3100000000000001E-2</v>
      </c>
      <c r="F36" s="12" t="s">
        <v>198</v>
      </c>
      <c r="H36" s="12"/>
      <c r="I36" s="12"/>
      <c r="M36" s="12"/>
    </row>
    <row r="37" spans="1:13" ht="17.25">
      <c r="A37" s="58" t="s">
        <v>321</v>
      </c>
      <c r="B37" s="249">
        <v>3</v>
      </c>
      <c r="C37" s="255" t="s">
        <v>322</v>
      </c>
      <c r="D37" s="365">
        <v>5.3100000000000001E-2</v>
      </c>
      <c r="E37" s="365">
        <v>5.3100000000000001E-2</v>
      </c>
      <c r="F37" s="12"/>
      <c r="H37" s="12"/>
      <c r="I37" s="12"/>
      <c r="M37" s="12"/>
    </row>
    <row r="38" spans="1:13" ht="17.25">
      <c r="A38" s="57" t="s">
        <v>147</v>
      </c>
      <c r="B38" s="247">
        <v>4</v>
      </c>
      <c r="C38" s="248" t="s">
        <v>302</v>
      </c>
      <c r="D38" s="365">
        <v>5.4899999999999997E-2</v>
      </c>
      <c r="E38" s="365">
        <v>5.57E-2</v>
      </c>
      <c r="F38" s="12"/>
      <c r="H38" s="12"/>
      <c r="I38" s="12"/>
      <c r="M38" s="12"/>
    </row>
    <row r="39" spans="1:13" ht="17.25">
      <c r="A39" s="57" t="s">
        <v>146</v>
      </c>
      <c r="B39" s="247">
        <v>5</v>
      </c>
      <c r="C39" s="248" t="s">
        <v>303</v>
      </c>
      <c r="D39" s="365">
        <v>5.4899999999999997E-2</v>
      </c>
      <c r="E39" s="365">
        <v>5.57E-2</v>
      </c>
      <c r="F39" s="12" t="s">
        <v>304</v>
      </c>
      <c r="H39" s="12"/>
      <c r="I39" s="12"/>
      <c r="M39" s="12"/>
    </row>
    <row r="40" spans="1:13" ht="17.25">
      <c r="A40" s="58" t="s">
        <v>145</v>
      </c>
      <c r="B40" s="249">
        <v>6</v>
      </c>
      <c r="C40" s="250" t="s">
        <v>172</v>
      </c>
      <c r="D40" s="365">
        <v>5.4899999999999997E-2</v>
      </c>
      <c r="E40" s="365">
        <v>5.57E-2</v>
      </c>
      <c r="F40" s="12"/>
      <c r="H40" s="12"/>
      <c r="I40" s="12"/>
      <c r="M40" s="12"/>
    </row>
    <row r="41" spans="1:13" ht="17.25">
      <c r="A41" s="57" t="s">
        <v>65</v>
      </c>
      <c r="B41" s="247">
        <v>7</v>
      </c>
      <c r="C41" s="248" t="s">
        <v>49</v>
      </c>
      <c r="D41" s="366">
        <v>5.6300000000000003E-2</v>
      </c>
      <c r="E41" s="366">
        <v>5.6800000000000003E-2</v>
      </c>
      <c r="H41" s="12"/>
      <c r="I41" s="12"/>
      <c r="M41" s="12"/>
    </row>
    <row r="42" spans="1:13" ht="17.25">
      <c r="A42" s="57" t="s">
        <v>144</v>
      </c>
      <c r="B42" s="247">
        <v>8</v>
      </c>
      <c r="C42" s="248" t="s">
        <v>24</v>
      </c>
      <c r="D42" s="366">
        <v>5.6300000000000003E-2</v>
      </c>
      <c r="E42" s="366">
        <v>5.6800000000000003E-2</v>
      </c>
      <c r="F42" s="12" t="s">
        <v>199</v>
      </c>
      <c r="H42" s="12"/>
      <c r="I42" s="12"/>
      <c r="J42" s="12"/>
      <c r="K42" s="12"/>
      <c r="L42" s="12"/>
      <c r="M42" s="12"/>
    </row>
    <row r="43" spans="1:13" ht="17.25">
      <c r="A43" s="58" t="s">
        <v>67</v>
      </c>
      <c r="B43" s="249">
        <v>9</v>
      </c>
      <c r="C43" s="250" t="s">
        <v>69</v>
      </c>
      <c r="D43" s="366">
        <v>5.6300000000000003E-2</v>
      </c>
      <c r="E43" s="366">
        <v>5.6800000000000003E-2</v>
      </c>
      <c r="F43" s="12"/>
      <c r="H43" s="12"/>
      <c r="I43" s="12"/>
      <c r="J43" s="12"/>
      <c r="K43" s="12"/>
      <c r="L43" s="12"/>
      <c r="M43" s="12"/>
    </row>
    <row r="44" spans="1:13" ht="17.25">
      <c r="A44" s="57" t="s">
        <v>59</v>
      </c>
      <c r="B44" s="247">
        <v>10</v>
      </c>
      <c r="C44" s="248" t="s">
        <v>61</v>
      </c>
      <c r="D44" s="366">
        <v>5.8999999999999997E-2</v>
      </c>
      <c r="E44" s="366">
        <v>5.8799999999999998E-2</v>
      </c>
      <c r="H44" s="12"/>
      <c r="I44" s="12"/>
      <c r="J44" s="12"/>
      <c r="K44" s="12"/>
      <c r="L44" s="12"/>
      <c r="M44" s="12"/>
    </row>
    <row r="45" spans="1:13" ht="17.25">
      <c r="A45" s="57" t="s">
        <v>60</v>
      </c>
      <c r="B45" s="247">
        <v>11</v>
      </c>
      <c r="C45" s="248" t="s">
        <v>62</v>
      </c>
      <c r="D45" s="366">
        <v>5.8999999999999997E-2</v>
      </c>
      <c r="E45" s="366">
        <v>5.8799999999999998E-2</v>
      </c>
      <c r="F45" s="12" t="s">
        <v>202</v>
      </c>
      <c r="H45" s="12"/>
      <c r="I45" s="12"/>
      <c r="J45" s="12"/>
      <c r="K45" s="12"/>
      <c r="L45" s="12"/>
      <c r="M45" s="12"/>
    </row>
    <row r="46" spans="1:13" ht="17.25">
      <c r="A46" s="58" t="s">
        <v>68</v>
      </c>
      <c r="B46" s="249">
        <v>12</v>
      </c>
      <c r="C46" s="250" t="s">
        <v>70</v>
      </c>
      <c r="D46" s="366">
        <v>5.8999999999999997E-2</v>
      </c>
      <c r="E46" s="366">
        <v>5.8799999999999998E-2</v>
      </c>
      <c r="F46" s="12"/>
      <c r="H46" s="12"/>
      <c r="I46" s="12"/>
      <c r="J46" s="12"/>
      <c r="K46" s="12"/>
      <c r="L46" s="12"/>
      <c r="M46" s="12"/>
    </row>
    <row r="47" spans="1:13" ht="17.25">
      <c r="A47" s="57" t="s">
        <v>66</v>
      </c>
      <c r="B47" s="247">
        <v>13</v>
      </c>
      <c r="C47" s="248" t="s">
        <v>305</v>
      </c>
      <c r="D47" s="365">
        <v>8.1299999999999997E-2</v>
      </c>
      <c r="E47" s="365">
        <v>8.14E-2</v>
      </c>
      <c r="H47" s="12"/>
      <c r="I47" s="12"/>
      <c r="J47" s="12"/>
      <c r="K47" s="12"/>
      <c r="L47" s="12"/>
      <c r="M47" s="12"/>
    </row>
    <row r="48" spans="1:13" ht="17.25">
      <c r="A48" s="57" t="s">
        <v>143</v>
      </c>
      <c r="B48" s="247">
        <v>14</v>
      </c>
      <c r="C48" s="248" t="s">
        <v>306</v>
      </c>
      <c r="D48" s="365">
        <v>8.1299999999999997E-2</v>
      </c>
      <c r="E48" s="365">
        <v>8.14E-2</v>
      </c>
      <c r="F48" s="12" t="s">
        <v>201</v>
      </c>
      <c r="H48" s="12"/>
      <c r="I48" s="12"/>
      <c r="J48" s="12"/>
      <c r="K48" s="12"/>
      <c r="L48" s="12"/>
      <c r="M48" s="12"/>
    </row>
    <row r="49" spans="1:13" ht="17.25">
      <c r="A49" s="58" t="s">
        <v>142</v>
      </c>
      <c r="B49" s="249">
        <v>15</v>
      </c>
      <c r="C49" s="250" t="s">
        <v>307</v>
      </c>
      <c r="D49" s="365">
        <v>8.1299999999999997E-2</v>
      </c>
      <c r="E49" s="365">
        <v>8.14E-2</v>
      </c>
      <c r="F49" s="12"/>
      <c r="H49" s="12"/>
      <c r="I49" s="12"/>
      <c r="J49" s="12"/>
      <c r="K49" s="12"/>
      <c r="L49" s="12"/>
      <c r="M49" s="12"/>
    </row>
    <row r="50" spans="1:13" ht="17.25">
      <c r="A50" s="57" t="s">
        <v>141</v>
      </c>
      <c r="B50" s="247">
        <v>16</v>
      </c>
      <c r="C50" s="248" t="s">
        <v>25</v>
      </c>
      <c r="D50" s="366">
        <v>8.9899999999999994E-2</v>
      </c>
      <c r="E50" s="366">
        <v>0.09</v>
      </c>
      <c r="H50" s="12"/>
      <c r="I50" s="12"/>
      <c r="J50" s="12"/>
      <c r="K50" s="12"/>
      <c r="L50" s="12"/>
      <c r="M50" s="12"/>
    </row>
    <row r="51" spans="1:13" ht="17.25">
      <c r="A51" s="57" t="s">
        <v>140</v>
      </c>
      <c r="B51" s="247">
        <v>17</v>
      </c>
      <c r="C51" s="248" t="s">
        <v>99</v>
      </c>
      <c r="D51" s="366">
        <v>8.9899999999999994E-2</v>
      </c>
      <c r="E51" s="366">
        <v>0.09</v>
      </c>
      <c r="F51" s="12" t="s">
        <v>200</v>
      </c>
      <c r="H51" s="12"/>
      <c r="I51" s="12"/>
      <c r="J51" s="12"/>
      <c r="K51" s="12"/>
      <c r="L51" s="12"/>
      <c r="M51" s="12"/>
    </row>
    <row r="52" spans="1:13" ht="17.25">
      <c r="A52" s="58" t="s">
        <v>139</v>
      </c>
      <c r="B52" s="249">
        <v>18</v>
      </c>
      <c r="C52" s="250" t="s">
        <v>308</v>
      </c>
      <c r="D52" s="366">
        <v>8.9899999999999994E-2</v>
      </c>
      <c r="E52" s="366">
        <v>0.09</v>
      </c>
      <c r="F52" s="12"/>
      <c r="H52" s="12"/>
      <c r="I52" s="12"/>
      <c r="J52" s="12"/>
      <c r="K52" s="12"/>
      <c r="L52" s="12"/>
      <c r="M52" s="12"/>
    </row>
    <row r="53" spans="1:13" ht="17.25">
      <c r="A53" s="57" t="s">
        <v>138</v>
      </c>
      <c r="B53" s="247">
        <v>19</v>
      </c>
      <c r="C53" s="248" t="s">
        <v>309</v>
      </c>
      <c r="D53" s="366">
        <v>9.8500000000000004E-2</v>
      </c>
      <c r="E53" s="366">
        <v>9.8599999999999993E-2</v>
      </c>
      <c r="H53" s="12"/>
      <c r="I53" s="12"/>
      <c r="J53" s="12"/>
      <c r="K53" s="12"/>
      <c r="L53" s="12"/>
      <c r="M53" s="12"/>
    </row>
    <row r="54" spans="1:13" ht="17.25">
      <c r="A54" s="57" t="s">
        <v>137</v>
      </c>
      <c r="B54" s="247">
        <v>20</v>
      </c>
      <c r="C54" s="248" t="s">
        <v>310</v>
      </c>
      <c r="D54" s="366">
        <v>9.8500000000000004E-2</v>
      </c>
      <c r="E54" s="366">
        <v>9.8599999999999993E-2</v>
      </c>
      <c r="F54" s="12" t="s">
        <v>197</v>
      </c>
      <c r="H54" s="12"/>
      <c r="I54" s="12"/>
      <c r="J54" s="12"/>
      <c r="K54" s="12"/>
      <c r="L54" s="12"/>
      <c r="M54" s="12"/>
    </row>
    <row r="55" spans="1:13" ht="17.25">
      <c r="A55" s="58" t="s">
        <v>136</v>
      </c>
      <c r="B55" s="249">
        <v>21</v>
      </c>
      <c r="C55" s="325" t="s">
        <v>311</v>
      </c>
      <c r="D55" s="366">
        <v>9.8500000000000004E-2</v>
      </c>
      <c r="E55" s="366">
        <v>9.8599999999999993E-2</v>
      </c>
      <c r="F55" s="12"/>
      <c r="H55" s="12"/>
      <c r="I55" s="12"/>
      <c r="J55" s="12"/>
      <c r="K55" s="12"/>
      <c r="L55" s="12"/>
    </row>
    <row r="56" spans="1:13" ht="17.25">
      <c r="A56" s="324" t="s">
        <v>323</v>
      </c>
      <c r="B56" s="367">
        <v>22</v>
      </c>
      <c r="C56" s="327" t="s">
        <v>324</v>
      </c>
      <c r="D56" s="366"/>
      <c r="E56" s="366"/>
      <c r="H56" s="12"/>
    </row>
    <row r="57" spans="1:13" ht="17.25">
      <c r="A57" s="324" t="s">
        <v>325</v>
      </c>
      <c r="B57" s="368">
        <v>23</v>
      </c>
      <c r="C57" s="328" t="s">
        <v>312</v>
      </c>
      <c r="D57" s="366"/>
      <c r="E57" s="366"/>
      <c r="F57" s="12" t="s">
        <v>195</v>
      </c>
      <c r="H57" s="12"/>
    </row>
    <row r="58" spans="1:13" ht="18" thickBot="1">
      <c r="A58" s="326" t="s">
        <v>326</v>
      </c>
      <c r="B58" s="369">
        <v>24</v>
      </c>
      <c r="C58" s="325" t="s">
        <v>327</v>
      </c>
      <c r="D58" s="366"/>
      <c r="E58" s="366"/>
      <c r="F58" s="12"/>
      <c r="H58" s="12"/>
    </row>
    <row r="59" spans="1:13" ht="18" thickBot="1">
      <c r="A59" s="58" t="s">
        <v>256</v>
      </c>
      <c r="B59" s="249">
        <v>25</v>
      </c>
      <c r="C59" s="58" t="s">
        <v>100</v>
      </c>
      <c r="D59" s="370"/>
      <c r="E59" s="370"/>
      <c r="F59" s="12" t="s">
        <v>196</v>
      </c>
      <c r="H59" s="12"/>
    </row>
  </sheetData>
  <pageMargins left="0.25" right="0.25" top="0.75" bottom="0.75" header="0.3" footer="0.3"/>
  <pageSetup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35"/>
  <sheetViews>
    <sheetView view="pageBreakPreview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1.5703125" customWidth="1"/>
    <col min="3" max="3" width="19.85546875" customWidth="1"/>
    <col min="4" max="4" width="24.7109375" customWidth="1"/>
    <col min="5" max="5" width="22.7109375" customWidth="1"/>
    <col min="6" max="7" width="21.28515625" customWidth="1"/>
    <col min="8" max="8" width="12" customWidth="1"/>
    <col min="9" max="9" width="18.42578125" customWidth="1"/>
    <col min="10" max="10" width="21.28515625" customWidth="1"/>
    <col min="11" max="11" width="2.28515625" customWidth="1"/>
    <col min="12" max="12" width="22.7109375" customWidth="1"/>
    <col min="13" max="13" width="17.28515625" customWidth="1"/>
  </cols>
  <sheetData>
    <row r="1" spans="1:14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7.25">
      <c r="A2" s="6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6.5">
      <c r="A4" s="12"/>
      <c r="B4" s="12"/>
      <c r="C4" s="12"/>
      <c r="D4" s="469" t="s">
        <v>0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8" thickBot="1">
      <c r="A5" s="6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8" thickBot="1">
      <c r="A6" s="237" t="str">
        <f>+'S&amp;D'!A12</f>
        <v>Electric Wholesale (non-regulated) Power Generator</v>
      </c>
      <c r="B6" s="17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7.25">
      <c r="A7" s="6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8" thickBot="1">
      <c r="A8" s="62"/>
      <c r="B8" s="29"/>
      <c r="C8" s="29"/>
      <c r="D8" s="29"/>
      <c r="E8" s="29"/>
      <c r="F8" s="12"/>
      <c r="G8" s="12"/>
      <c r="H8" s="29"/>
      <c r="I8" s="29"/>
      <c r="J8" s="29"/>
      <c r="K8" s="29"/>
      <c r="L8" s="29"/>
      <c r="M8" s="29"/>
      <c r="N8" s="12"/>
    </row>
    <row r="9" spans="1:14" ht="26.25">
      <c r="B9" s="12"/>
      <c r="C9" s="12"/>
      <c r="D9" s="31" t="s">
        <v>292</v>
      </c>
      <c r="E9" s="12"/>
      <c r="F9" s="12"/>
      <c r="G9" s="12"/>
      <c r="H9" s="12"/>
      <c r="I9" s="12"/>
      <c r="J9" s="12"/>
      <c r="K9" s="68" t="s">
        <v>293</v>
      </c>
      <c r="L9" s="12"/>
      <c r="M9" s="12"/>
      <c r="N9" s="12"/>
    </row>
    <row r="10" spans="1:14" ht="21" thickBot="1">
      <c r="A10" s="30"/>
      <c r="B10" s="29"/>
      <c r="C10" s="29"/>
      <c r="D10" s="36" t="s">
        <v>492</v>
      </c>
      <c r="E10" s="29"/>
      <c r="F10" s="12"/>
      <c r="G10" s="12"/>
      <c r="H10" s="29"/>
      <c r="I10" s="29"/>
      <c r="J10" s="29"/>
      <c r="K10" s="36" t="s">
        <v>492</v>
      </c>
      <c r="L10" s="29"/>
      <c r="M10" s="29"/>
      <c r="N10" s="12"/>
    </row>
    <row r="11" spans="1:14" ht="17.25" thickBot="1">
      <c r="A11" s="33" t="s">
        <v>0</v>
      </c>
      <c r="B11" s="33" t="s">
        <v>0</v>
      </c>
      <c r="C11" s="33" t="s">
        <v>0</v>
      </c>
      <c r="D11" s="33" t="s">
        <v>0</v>
      </c>
      <c r="E11" s="33" t="s">
        <v>0</v>
      </c>
      <c r="F11" s="33" t="s">
        <v>0</v>
      </c>
      <c r="G11" s="40"/>
      <c r="H11" s="236"/>
      <c r="I11" s="33" t="s">
        <v>0</v>
      </c>
      <c r="J11" s="29"/>
      <c r="K11" s="29"/>
      <c r="L11" s="29"/>
      <c r="M11" s="29"/>
      <c r="N11" s="12"/>
    </row>
    <row r="12" spans="1:14" ht="16.5">
      <c r="A12" s="34" t="s">
        <v>0</v>
      </c>
      <c r="B12" s="34" t="s">
        <v>3</v>
      </c>
      <c r="C12" s="34" t="s">
        <v>0</v>
      </c>
      <c r="D12" s="34" t="s">
        <v>120</v>
      </c>
      <c r="E12" s="34" t="s">
        <v>120</v>
      </c>
      <c r="F12" s="34" t="s">
        <v>26</v>
      </c>
      <c r="G12" s="34"/>
      <c r="H12" s="34" t="s">
        <v>3</v>
      </c>
      <c r="I12" s="34" t="s">
        <v>0</v>
      </c>
      <c r="J12" s="34" t="s">
        <v>120</v>
      </c>
      <c r="K12" s="34"/>
      <c r="L12" s="34" t="s">
        <v>120</v>
      </c>
      <c r="M12" s="34" t="s">
        <v>26</v>
      </c>
      <c r="N12" s="12"/>
    </row>
    <row r="13" spans="1:14" ht="17.25" thickBot="1">
      <c r="A13" s="36" t="s">
        <v>2</v>
      </c>
      <c r="B13" s="36" t="s">
        <v>4</v>
      </c>
      <c r="C13" s="36" t="s">
        <v>27</v>
      </c>
      <c r="D13" s="36" t="s">
        <v>0</v>
      </c>
      <c r="E13" s="36" t="s">
        <v>28</v>
      </c>
      <c r="F13" s="36" t="s">
        <v>29</v>
      </c>
      <c r="G13" s="34"/>
      <c r="H13" s="36" t="s">
        <v>4</v>
      </c>
      <c r="I13" s="36" t="s">
        <v>27</v>
      </c>
      <c r="J13" s="36" t="s">
        <v>0</v>
      </c>
      <c r="K13" s="36"/>
      <c r="L13" s="36" t="s">
        <v>28</v>
      </c>
      <c r="M13" s="36" t="s">
        <v>29</v>
      </c>
      <c r="N13" s="12"/>
    </row>
    <row r="14" spans="1:14" ht="16.5">
      <c r="A14" s="38" t="s">
        <v>0</v>
      </c>
      <c r="B14" s="38" t="s">
        <v>0</v>
      </c>
      <c r="C14" s="39" t="s">
        <v>123</v>
      </c>
      <c r="D14" s="38" t="s">
        <v>124</v>
      </c>
      <c r="E14" s="38" t="s">
        <v>0</v>
      </c>
      <c r="F14" s="38" t="s">
        <v>0</v>
      </c>
      <c r="G14" s="40"/>
      <c r="H14" s="38" t="s">
        <v>0</v>
      </c>
      <c r="I14" s="39" t="s">
        <v>123</v>
      </c>
      <c r="J14" s="38" t="s">
        <v>125</v>
      </c>
      <c r="K14" s="38"/>
      <c r="L14" s="38" t="s">
        <v>0</v>
      </c>
      <c r="M14" s="38" t="s">
        <v>0</v>
      </c>
      <c r="N14" s="12"/>
    </row>
    <row r="15" spans="1:14" ht="16.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12"/>
    </row>
    <row r="16" spans="1:14" ht="16.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7.25">
      <c r="A17" s="43" t="str">
        <f>+'S&amp;D'!A22</f>
        <v>AES CORPORATION</v>
      </c>
      <c r="B17" s="34" t="str">
        <f>+'S&amp;D'!B22</f>
        <v>AES</v>
      </c>
      <c r="C17" s="59">
        <f>+'S&amp;D'!G22</f>
        <v>9.42</v>
      </c>
      <c r="D17" s="296">
        <v>4.25</v>
      </c>
      <c r="E17" s="71">
        <f>C17/D17</f>
        <v>2.216470588235294</v>
      </c>
      <c r="F17" s="56">
        <f t="shared" ref="F17:F23" si="0">1/E17</f>
        <v>0.45116772823779194</v>
      </c>
      <c r="G17" s="56"/>
      <c r="H17" s="34" t="str">
        <f>+B17</f>
        <v>AES</v>
      </c>
      <c r="I17" s="59">
        <f>+C17</f>
        <v>9.42</v>
      </c>
      <c r="J17" s="296">
        <v>4.4000000000000004</v>
      </c>
      <c r="K17" s="296"/>
      <c r="L17" s="71">
        <f>I17/J17</f>
        <v>2.1409090909090907</v>
      </c>
      <c r="M17" s="56">
        <f t="shared" ref="M17:M23" si="1">1/L17</f>
        <v>0.46709129511677289</v>
      </c>
      <c r="N17" s="12"/>
    </row>
    <row r="18" spans="1:14" ht="17.25">
      <c r="A18" s="43" t="str">
        <f>+'S&amp;D'!A23</f>
        <v>DOMINION ENERGY INC</v>
      </c>
      <c r="B18" s="34" t="str">
        <f>+'S&amp;D'!B23</f>
        <v>D</v>
      </c>
      <c r="C18" s="59">
        <f>+'S&amp;D'!G23</f>
        <v>58.59</v>
      </c>
      <c r="D18" s="296">
        <v>6.7</v>
      </c>
      <c r="E18" s="71">
        <f t="shared" ref="E18:E23" si="2">C18/D18</f>
        <v>8.7447761194029852</v>
      </c>
      <c r="F18" s="56">
        <f t="shared" si="0"/>
        <v>0.11435398532172726</v>
      </c>
      <c r="G18" s="56"/>
      <c r="H18" s="34" t="str">
        <f t="shared" ref="H18:H23" si="3">+B18</f>
        <v>D</v>
      </c>
      <c r="I18" s="59">
        <f t="shared" ref="I18:I23" si="4">+C18</f>
        <v>58.59</v>
      </c>
      <c r="J18" s="296">
        <v>7</v>
      </c>
      <c r="K18" s="296"/>
      <c r="L18" s="71">
        <f t="shared" ref="L18:L23" si="5">I18/J18</f>
        <v>8.370000000000001</v>
      </c>
      <c r="M18" s="56">
        <f t="shared" si="1"/>
        <v>0.1194743130227001</v>
      </c>
      <c r="N18" s="12"/>
    </row>
    <row r="19" spans="1:14" ht="17.25">
      <c r="A19" s="43" t="str">
        <f>+'S&amp;D'!A24</f>
        <v>CONSTELLATION ENERGY GENERATION LLC</v>
      </c>
      <c r="B19" s="34" t="str">
        <f>+'S&amp;D'!B24</f>
        <v>CEG</v>
      </c>
      <c r="C19" s="59">
        <f>+'S&amp;D'!G24</f>
        <v>353.27</v>
      </c>
      <c r="D19" s="296">
        <v>19.8</v>
      </c>
      <c r="E19" s="71">
        <f t="shared" si="2"/>
        <v>17.841919191919189</v>
      </c>
      <c r="F19" s="56">
        <f t="shared" si="0"/>
        <v>5.6047782149630604E-2</v>
      </c>
      <c r="G19" s="56"/>
      <c r="H19" s="34" t="str">
        <f t="shared" si="3"/>
        <v>CEG</v>
      </c>
      <c r="I19" s="59">
        <f t="shared" si="4"/>
        <v>353.27</v>
      </c>
      <c r="J19" s="296">
        <v>22.4</v>
      </c>
      <c r="K19" s="296"/>
      <c r="L19" s="71">
        <f t="shared" si="5"/>
        <v>15.770982142857143</v>
      </c>
      <c r="M19" s="56">
        <f t="shared" si="1"/>
        <v>6.3407591926854814E-2</v>
      </c>
      <c r="N19" s="12"/>
    </row>
    <row r="20" spans="1:14" ht="17.25">
      <c r="A20" s="43" t="str">
        <f>+'S&amp;D'!A25</f>
        <v>NEXTERA ENERGY INC</v>
      </c>
      <c r="B20" s="34" t="str">
        <f>+'S&amp;D'!B25</f>
        <v>NEE</v>
      </c>
      <c r="C20" s="59">
        <f>+'S&amp;D'!G25</f>
        <v>80.28</v>
      </c>
      <c r="D20" s="296">
        <v>6.75</v>
      </c>
      <c r="E20" s="71">
        <f t="shared" ref="E20" si="6">C20/D20</f>
        <v>11.893333333333333</v>
      </c>
      <c r="F20" s="56">
        <f t="shared" ref="F20" si="7">1/E20</f>
        <v>8.4080717488789244E-2</v>
      </c>
      <c r="G20" s="56"/>
      <c r="H20" s="34" t="str">
        <f t="shared" ref="H20" si="8">+B20</f>
        <v>NEE</v>
      </c>
      <c r="I20" s="59">
        <f t="shared" ref="I20" si="9">+C20</f>
        <v>80.28</v>
      </c>
      <c r="J20" s="296">
        <v>7.25</v>
      </c>
      <c r="K20" s="296"/>
      <c r="L20" s="71">
        <f t="shared" ref="L20" si="10">I20/J20</f>
        <v>11.073103448275862</v>
      </c>
      <c r="M20" s="56">
        <f t="shared" ref="M20" si="11">1/L20</f>
        <v>9.0308918784255107E-2</v>
      </c>
      <c r="N20" s="12"/>
    </row>
    <row r="21" spans="1:14" ht="17.25">
      <c r="A21" s="43" t="str">
        <f>+'S&amp;D'!A26</f>
        <v>NRG ENERGY</v>
      </c>
      <c r="B21" s="34" t="str">
        <f>+'S&amp;D'!B26</f>
        <v>NRG</v>
      </c>
      <c r="C21" s="59">
        <f>+'S&amp;D'!G26</f>
        <v>159.24</v>
      </c>
      <c r="D21" s="296">
        <v>15.4</v>
      </c>
      <c r="E21" s="71">
        <f>C21/D21</f>
        <v>10.340259740259741</v>
      </c>
      <c r="F21" s="56">
        <f t="shared" si="0"/>
        <v>9.6709369505149453E-2</v>
      </c>
      <c r="G21" s="56"/>
      <c r="H21" s="34" t="str">
        <f t="shared" si="3"/>
        <v>NRG</v>
      </c>
      <c r="I21" s="59">
        <f t="shared" si="4"/>
        <v>159.24</v>
      </c>
      <c r="J21" s="296">
        <v>17.25</v>
      </c>
      <c r="K21" s="296"/>
      <c r="L21" s="71">
        <f t="shared" si="5"/>
        <v>9.2313043478260877</v>
      </c>
      <c r="M21" s="56">
        <f t="shared" si="1"/>
        <v>0.10832705350414468</v>
      </c>
      <c r="N21" s="12"/>
    </row>
    <row r="22" spans="1:14" ht="17.25">
      <c r="A22" s="43" t="str">
        <f>+'S&amp;D'!A27</f>
        <v>SOUTHERN COMPANY</v>
      </c>
      <c r="B22" s="34" t="str">
        <f>+'S&amp;D'!B27</f>
        <v>SO</v>
      </c>
      <c r="C22" s="59">
        <f>+'S&amp;D'!G27</f>
        <v>87.2</v>
      </c>
      <c r="D22" s="296">
        <v>8.85</v>
      </c>
      <c r="E22" s="71">
        <f t="shared" si="2"/>
        <v>9.8531073446327699</v>
      </c>
      <c r="F22" s="56">
        <f t="shared" si="0"/>
        <v>0.10149082568807338</v>
      </c>
      <c r="G22" s="56"/>
      <c r="H22" s="34" t="str">
        <f t="shared" si="3"/>
        <v>SO</v>
      </c>
      <c r="I22" s="59">
        <f t="shared" si="4"/>
        <v>87.2</v>
      </c>
      <c r="J22" s="296">
        <v>9.0500000000000007</v>
      </c>
      <c r="K22" s="296"/>
      <c r="L22" s="71">
        <f t="shared" si="5"/>
        <v>9.6353591160220997</v>
      </c>
      <c r="M22" s="56">
        <f t="shared" si="1"/>
        <v>0.10378440366972477</v>
      </c>
      <c r="N22" s="12"/>
    </row>
    <row r="23" spans="1:14" ht="17.25">
      <c r="A23" s="43" t="str">
        <f>+'S&amp;D'!A28</f>
        <v>VISTRA ENERGY CORPORATION</v>
      </c>
      <c r="B23" s="34" t="str">
        <f>+'S&amp;D'!B28</f>
        <v>VST</v>
      </c>
      <c r="C23" s="59">
        <f>+'S&amp;D'!G28</f>
        <v>161.33000000000001</v>
      </c>
      <c r="D23" s="296">
        <v>18.2</v>
      </c>
      <c r="E23" s="71">
        <f t="shared" si="2"/>
        <v>8.8642857142857157</v>
      </c>
      <c r="F23" s="56">
        <f t="shared" si="0"/>
        <v>0.11281224818694599</v>
      </c>
      <c r="G23" s="56"/>
      <c r="H23" s="34" t="str">
        <f t="shared" si="3"/>
        <v>VST</v>
      </c>
      <c r="I23" s="59">
        <f t="shared" si="4"/>
        <v>161.33000000000001</v>
      </c>
      <c r="J23" s="296">
        <v>21.15</v>
      </c>
      <c r="K23" s="296"/>
      <c r="L23" s="71">
        <f t="shared" si="5"/>
        <v>7.6278959810874714</v>
      </c>
      <c r="M23" s="56">
        <f t="shared" si="1"/>
        <v>0.13109774995351142</v>
      </c>
      <c r="N23" s="12"/>
    </row>
    <row r="24" spans="1:14" ht="17.25" thickBot="1">
      <c r="A24" s="12"/>
      <c r="B24" s="70"/>
      <c r="C24" s="70"/>
      <c r="D24" s="70"/>
      <c r="E24" s="70"/>
      <c r="F24" s="70"/>
      <c r="G24" s="12"/>
      <c r="H24" s="70"/>
      <c r="I24" s="70"/>
      <c r="J24" s="70"/>
      <c r="K24" s="70"/>
      <c r="L24" s="70"/>
      <c r="M24" s="70"/>
      <c r="N24" s="12"/>
    </row>
    <row r="25" spans="1:14" ht="17.25" thickTop="1">
      <c r="A25" s="12"/>
      <c r="C25" s="14" t="s">
        <v>51</v>
      </c>
      <c r="D25" s="270">
        <f>MAX(D17:D23)</f>
        <v>19.8</v>
      </c>
      <c r="E25" s="270">
        <f t="shared" ref="E25:F25" si="12">MAX(E17:E23)</f>
        <v>17.841919191919189</v>
      </c>
      <c r="F25" s="265">
        <f t="shared" si="12"/>
        <v>0.45116772823779194</v>
      </c>
      <c r="I25" s="14" t="s">
        <v>51</v>
      </c>
      <c r="J25" s="270">
        <f t="shared" ref="J25:M25" si="13">MAX(J17:J23)</f>
        <v>22.4</v>
      </c>
      <c r="K25" s="270"/>
      <c r="L25" s="270">
        <f t="shared" si="13"/>
        <v>15.770982142857143</v>
      </c>
      <c r="M25" s="265">
        <f t="shared" si="13"/>
        <v>0.46709129511677289</v>
      </c>
      <c r="N25" s="12"/>
    </row>
    <row r="26" spans="1:14" ht="16.5">
      <c r="A26" s="12"/>
      <c r="C26" s="14" t="s">
        <v>52</v>
      </c>
      <c r="D26" s="273">
        <f>MIN(D17:D23)</f>
        <v>4.25</v>
      </c>
      <c r="E26" s="273">
        <f t="shared" ref="E26:F26" si="14">MIN(E17:E23)</f>
        <v>2.216470588235294</v>
      </c>
      <c r="F26" s="266">
        <f t="shared" si="14"/>
        <v>5.6047782149630604E-2</v>
      </c>
      <c r="I26" s="14" t="s">
        <v>52</v>
      </c>
      <c r="J26" s="273">
        <f t="shared" ref="J26:M26" si="15">MIN(J17:J23)</f>
        <v>4.4000000000000004</v>
      </c>
      <c r="K26" s="273"/>
      <c r="L26" s="273">
        <f t="shared" si="15"/>
        <v>2.1409090909090907</v>
      </c>
      <c r="M26" s="266">
        <f t="shared" si="15"/>
        <v>6.3407591926854814E-2</v>
      </c>
      <c r="N26" s="12"/>
    </row>
    <row r="27" spans="1:14" ht="16.5">
      <c r="A27" s="12"/>
      <c r="C27" s="14" t="s">
        <v>18</v>
      </c>
      <c r="D27" s="71">
        <f>MEDIAN(D17:D23)</f>
        <v>8.85</v>
      </c>
      <c r="E27" s="21">
        <f>MEDIAN(E17:E23)</f>
        <v>9.8531073446327699</v>
      </c>
      <c r="F27" s="56">
        <f>MEDIAN(F17:F23)</f>
        <v>0.10149082568807338</v>
      </c>
      <c r="I27" s="14" t="s">
        <v>18</v>
      </c>
      <c r="J27" s="71">
        <f>MEDIAN(J17:J23)</f>
        <v>9.0500000000000007</v>
      </c>
      <c r="K27" s="71"/>
      <c r="L27" s="21">
        <f>MEDIAN(L17:L23)</f>
        <v>9.2313043478260877</v>
      </c>
      <c r="M27" s="56">
        <f>MEDIAN(M17:M23)</f>
        <v>0.10832705350414468</v>
      </c>
      <c r="N27" s="12"/>
    </row>
    <row r="28" spans="1:14" ht="16.5">
      <c r="A28" s="12"/>
      <c r="C28" s="14" t="s">
        <v>375</v>
      </c>
      <c r="D28" s="17">
        <f>AVERAGE(D17:D23)</f>
        <v>11.421428571428573</v>
      </c>
      <c r="E28" s="21">
        <f>AVERAGE(E17:E23)</f>
        <v>9.9648788617241468</v>
      </c>
      <c r="F28" s="72">
        <f>AVERAGE(F17:F23)</f>
        <v>0.14523752236830112</v>
      </c>
      <c r="I28" s="14" t="s">
        <v>375</v>
      </c>
      <c r="J28" s="17">
        <f>AVERAGE(J17:J23)</f>
        <v>12.642857142857142</v>
      </c>
      <c r="K28" s="17"/>
      <c r="L28" s="21">
        <f>AVERAGE(L17:L23)</f>
        <v>9.121364875282536</v>
      </c>
      <c r="M28" s="72">
        <f>AVERAGE(M17:M23)</f>
        <v>0.15478447513970911</v>
      </c>
      <c r="N28" s="12"/>
    </row>
    <row r="29" spans="1:14" ht="16.5">
      <c r="A29" s="12"/>
      <c r="B29" s="12"/>
      <c r="C29" s="12"/>
      <c r="D29" s="12"/>
      <c r="E29" s="12"/>
      <c r="F29" s="12"/>
      <c r="H29" s="12"/>
      <c r="I29" s="12"/>
      <c r="J29" s="12"/>
      <c r="K29" s="12"/>
      <c r="L29" s="12"/>
      <c r="M29" s="12"/>
      <c r="N29" s="12"/>
    </row>
    <row r="30" spans="1:14" ht="26.25">
      <c r="A30" s="12"/>
      <c r="B30" s="12"/>
      <c r="C30" s="12"/>
      <c r="D30" s="76" t="s">
        <v>84</v>
      </c>
      <c r="E30" s="286">
        <v>9.9600000000000009</v>
      </c>
      <c r="F30" s="287">
        <v>0.1452</v>
      </c>
      <c r="H30" s="12"/>
      <c r="I30" s="12"/>
      <c r="J30" s="76" t="s">
        <v>84</v>
      </c>
      <c r="K30" s="48"/>
      <c r="L30" s="288">
        <v>9.1199999999999992</v>
      </c>
      <c r="M30" s="287">
        <v>0.15479999999999999</v>
      </c>
      <c r="N30" s="12"/>
    </row>
    <row r="31" spans="1:14" ht="17.25" thickBot="1">
      <c r="A31" s="12"/>
      <c r="B31" s="12"/>
      <c r="C31" s="12"/>
      <c r="D31" s="12"/>
      <c r="E31" s="12"/>
      <c r="F31" s="73" t="s">
        <v>0</v>
      </c>
      <c r="G31" s="73"/>
      <c r="H31" s="12"/>
      <c r="I31" s="12"/>
      <c r="J31" s="12"/>
      <c r="K31" s="12"/>
      <c r="L31" s="12"/>
      <c r="M31" s="12"/>
      <c r="N31" s="12"/>
    </row>
    <row r="32" spans="1:14" ht="27" thickBot="1">
      <c r="A32" s="74" t="s">
        <v>0</v>
      </c>
      <c r="B32" s="12"/>
      <c r="C32" s="12"/>
      <c r="D32" s="12"/>
      <c r="E32" s="12"/>
      <c r="F32" s="12"/>
      <c r="G32" s="12"/>
      <c r="H32" s="24" t="s">
        <v>129</v>
      </c>
      <c r="I32" s="24"/>
      <c r="J32" s="12"/>
      <c r="K32" s="12"/>
      <c r="L32" s="329">
        <f>(E30+L30)/2</f>
        <v>9.5399999999999991</v>
      </c>
      <c r="M32" s="323">
        <f>(F30+M30)/2</f>
        <v>0.15</v>
      </c>
      <c r="N32" s="12"/>
    </row>
    <row r="33" spans="1:14" ht="16.5">
      <c r="A33" s="74" t="s">
        <v>63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6.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6.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59"/>
  <sheetViews>
    <sheetView view="pageBreakPreview" zoomScale="60" zoomScaleNormal="80" workbookViewId="0">
      <selection activeCell="E4" sqref="E4"/>
    </sheetView>
  </sheetViews>
  <sheetFormatPr defaultRowHeight="15"/>
  <cols>
    <col min="1" max="1" width="44.140625" customWidth="1"/>
    <col min="2" max="2" width="14.42578125" customWidth="1"/>
    <col min="3" max="3" width="12.28515625" bestFit="1" customWidth="1"/>
    <col min="4" max="4" width="23.7109375" customWidth="1"/>
    <col min="5" max="5" width="21.28515625" customWidth="1"/>
    <col min="6" max="6" width="19" customWidth="1"/>
    <col min="7" max="7" width="16.42578125" customWidth="1"/>
    <col min="8" max="10" width="19.28515625" customWidth="1"/>
    <col min="11" max="12" width="21.5703125" customWidth="1"/>
    <col min="13" max="13" width="18.28515625" customWidth="1"/>
  </cols>
  <sheetData>
    <row r="1" spans="1:15" ht="26.25">
      <c r="A1" s="24" t="s">
        <v>1</v>
      </c>
      <c r="B1" s="2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7.25">
      <c r="A2" s="62" t="s">
        <v>9</v>
      </c>
      <c r="B2" s="6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6.5">
      <c r="A3" s="26" t="s">
        <v>479</v>
      </c>
      <c r="B3" s="4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6.5">
      <c r="A4" s="12"/>
      <c r="B4" s="12"/>
      <c r="C4" s="12"/>
      <c r="D4" s="12"/>
      <c r="E4" s="469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8" thickBot="1">
      <c r="A5" s="62"/>
      <c r="B5" s="6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1" thickBot="1">
      <c r="A6" s="235" t="str">
        <f>+'S&amp;D'!A12</f>
        <v>Electric Wholesale (non-regulated) Power Generator</v>
      </c>
      <c r="B6" s="317"/>
      <c r="C6" s="17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8" thickBot="1">
      <c r="A7" s="62"/>
      <c r="B7" s="62"/>
      <c r="C7" s="29"/>
      <c r="D7" s="29"/>
      <c r="E7" s="29"/>
      <c r="F7" s="29"/>
      <c r="G7" s="29"/>
      <c r="H7" s="12"/>
      <c r="I7" s="29"/>
      <c r="J7" s="29"/>
      <c r="K7" s="29"/>
      <c r="L7" s="29"/>
      <c r="M7" s="29"/>
      <c r="N7" s="12"/>
      <c r="O7" s="12"/>
    </row>
    <row r="8" spans="1:15" ht="26.25">
      <c r="B8" s="30"/>
      <c r="C8" s="12"/>
      <c r="D8" s="12"/>
      <c r="E8" s="31" t="s">
        <v>234</v>
      </c>
      <c r="F8" s="12"/>
      <c r="G8" s="12"/>
      <c r="H8" s="12"/>
      <c r="I8" s="12"/>
      <c r="J8" s="12"/>
      <c r="K8" s="31" t="s">
        <v>235</v>
      </c>
      <c r="L8" s="12"/>
      <c r="M8" s="12"/>
      <c r="N8" s="12"/>
      <c r="O8" s="12"/>
    </row>
    <row r="9" spans="1:15" ht="21" thickBot="1">
      <c r="A9" s="30"/>
      <c r="B9" s="30"/>
      <c r="C9" s="29"/>
      <c r="D9" s="29"/>
      <c r="E9" s="36" t="s">
        <v>492</v>
      </c>
      <c r="F9" s="29"/>
      <c r="G9" s="29"/>
      <c r="H9" s="12"/>
      <c r="I9" s="29"/>
      <c r="J9" s="29"/>
      <c r="K9" s="36" t="s">
        <v>492</v>
      </c>
      <c r="L9" s="29"/>
      <c r="M9" s="29"/>
      <c r="N9" s="12"/>
      <c r="O9" s="12"/>
    </row>
    <row r="10" spans="1:15" ht="17.25" thickBot="1">
      <c r="A10" s="33" t="s">
        <v>0</v>
      </c>
      <c r="B10" s="33"/>
      <c r="C10" s="33" t="s">
        <v>0</v>
      </c>
      <c r="D10" s="33" t="s">
        <v>0</v>
      </c>
      <c r="E10" s="33" t="s">
        <v>0</v>
      </c>
      <c r="F10" s="33" t="s">
        <v>0</v>
      </c>
      <c r="G10" s="33" t="s">
        <v>0</v>
      </c>
      <c r="H10" s="12"/>
      <c r="I10" s="29"/>
      <c r="J10" s="29"/>
      <c r="K10" s="29"/>
      <c r="L10" s="29"/>
      <c r="M10" s="29"/>
      <c r="N10" s="12"/>
      <c r="O10" s="12"/>
    </row>
    <row r="11" spans="1:15" ht="16.5">
      <c r="A11" s="34" t="s">
        <v>0</v>
      </c>
      <c r="B11" s="34"/>
      <c r="C11" s="34" t="s">
        <v>3</v>
      </c>
      <c r="D11" s="34" t="s">
        <v>0</v>
      </c>
      <c r="E11" s="34" t="s">
        <v>121</v>
      </c>
      <c r="F11" s="34" t="s">
        <v>121</v>
      </c>
      <c r="G11" s="34" t="s">
        <v>26</v>
      </c>
      <c r="H11" s="12"/>
      <c r="I11" s="34" t="s">
        <v>3</v>
      </c>
      <c r="J11" s="34" t="s">
        <v>0</v>
      </c>
      <c r="K11" s="34" t="s">
        <v>121</v>
      </c>
      <c r="L11" s="34" t="s">
        <v>121</v>
      </c>
      <c r="M11" s="34" t="s">
        <v>26</v>
      </c>
      <c r="N11" s="12"/>
      <c r="O11" s="12"/>
    </row>
    <row r="12" spans="1:15" ht="17.25" thickBot="1">
      <c r="A12" s="36" t="s">
        <v>2</v>
      </c>
      <c r="B12" s="36"/>
      <c r="C12" s="36" t="s">
        <v>4</v>
      </c>
      <c r="D12" s="36" t="s">
        <v>27</v>
      </c>
      <c r="E12" s="36" t="s">
        <v>173</v>
      </c>
      <c r="F12" s="36" t="s">
        <v>28</v>
      </c>
      <c r="G12" s="36" t="s">
        <v>29</v>
      </c>
      <c r="H12" s="12"/>
      <c r="I12" s="36" t="s">
        <v>4</v>
      </c>
      <c r="J12" s="36" t="s">
        <v>27</v>
      </c>
      <c r="K12" s="36" t="s">
        <v>173</v>
      </c>
      <c r="L12" s="36" t="s">
        <v>28</v>
      </c>
      <c r="M12" s="36" t="s">
        <v>29</v>
      </c>
      <c r="N12" s="12"/>
      <c r="O12" s="12"/>
    </row>
    <row r="13" spans="1:15" ht="16.5">
      <c r="A13" s="38" t="s">
        <v>0</v>
      </c>
      <c r="B13" s="38"/>
      <c r="C13" s="38" t="s">
        <v>0</v>
      </c>
      <c r="D13" s="39" t="s">
        <v>123</v>
      </c>
      <c r="E13" s="75" t="s">
        <v>124</v>
      </c>
      <c r="F13" s="38" t="s">
        <v>0</v>
      </c>
      <c r="G13" s="38" t="s">
        <v>0</v>
      </c>
      <c r="H13" s="12"/>
      <c r="I13" s="38" t="s">
        <v>0</v>
      </c>
      <c r="J13" s="39" t="s">
        <v>123</v>
      </c>
      <c r="K13" s="75" t="s">
        <v>122</v>
      </c>
      <c r="L13" s="38" t="s">
        <v>0</v>
      </c>
      <c r="M13" s="38" t="s">
        <v>0</v>
      </c>
      <c r="N13" s="12"/>
      <c r="O13" s="12"/>
    </row>
    <row r="14" spans="1:15" ht="16.5">
      <c r="A14" s="34"/>
      <c r="B14" s="34"/>
      <c r="C14" s="34"/>
      <c r="D14" s="34"/>
      <c r="E14" s="34"/>
      <c r="F14" s="34"/>
      <c r="G14" s="34"/>
      <c r="H14" s="12"/>
      <c r="I14" s="34"/>
      <c r="J14" s="34"/>
      <c r="K14" s="34"/>
      <c r="L14" s="34"/>
      <c r="M14" s="34"/>
      <c r="N14" s="12"/>
      <c r="O14" s="12"/>
    </row>
    <row r="15" spans="1:15" ht="16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7.25">
      <c r="A16" s="43" t="str">
        <f>+'S&amp;D'!A22</f>
        <v>AES CORPORATION</v>
      </c>
      <c r="B16" s="43"/>
      <c r="C16" s="34" t="str">
        <f>+'S&amp;D'!B22</f>
        <v>AES</v>
      </c>
      <c r="D16" s="59">
        <f>'S&amp;D'!G22</f>
        <v>9.42</v>
      </c>
      <c r="E16" s="61">
        <f>+Earnings!E16</f>
        <v>2.1</v>
      </c>
      <c r="F16" s="69">
        <f>D16/E16</f>
        <v>4.4857142857142858</v>
      </c>
      <c r="G16" s="56">
        <f t="shared" ref="G16:G22" si="0">1/F16</f>
        <v>0.22292993630573249</v>
      </c>
      <c r="H16" s="12"/>
      <c r="I16" s="34" t="s">
        <v>43</v>
      </c>
      <c r="J16" s="59">
        <f>+D16</f>
        <v>9.42</v>
      </c>
      <c r="K16" s="61">
        <f>+Earnings!G16</f>
        <v>2.2000000000000002</v>
      </c>
      <c r="L16" s="69">
        <f>J16/K16</f>
        <v>4.2818181818181813</v>
      </c>
      <c r="M16" s="56">
        <f t="shared" ref="M16:M22" si="1">1/L16</f>
        <v>0.23354564755838644</v>
      </c>
      <c r="N16" s="12"/>
      <c r="O16" s="12"/>
    </row>
    <row r="17" spans="1:15" ht="17.25">
      <c r="A17" s="43" t="str">
        <f>+'S&amp;D'!A23</f>
        <v>DOMINION ENERGY INC</v>
      </c>
      <c r="B17" s="43"/>
      <c r="C17" s="34" t="str">
        <f>+'S&amp;D'!B23</f>
        <v>D</v>
      </c>
      <c r="D17" s="59">
        <f>'S&amp;D'!G23</f>
        <v>58.59</v>
      </c>
      <c r="E17" s="61">
        <f>+Earnings!E17</f>
        <v>3.6</v>
      </c>
      <c r="F17" s="69">
        <f t="shared" ref="F17:F22" si="2">D17/E17</f>
        <v>16.275000000000002</v>
      </c>
      <c r="G17" s="56">
        <f t="shared" si="0"/>
        <v>6.144393241167434E-2</v>
      </c>
      <c r="H17" s="12"/>
      <c r="I17" s="34" t="s">
        <v>44</v>
      </c>
      <c r="J17" s="59">
        <f t="shared" ref="J17:J22" si="3">+D17</f>
        <v>58.59</v>
      </c>
      <c r="K17" s="61">
        <f>+Earnings!G17</f>
        <v>3.85</v>
      </c>
      <c r="L17" s="69">
        <f t="shared" ref="L17:L22" si="4">J17/K17</f>
        <v>15.218181818181819</v>
      </c>
      <c r="M17" s="56">
        <f t="shared" si="1"/>
        <v>6.5710872162485057E-2</v>
      </c>
      <c r="N17" s="12"/>
      <c r="O17" s="12"/>
    </row>
    <row r="18" spans="1:15" ht="17.25">
      <c r="A18" s="43" t="str">
        <f>+'S&amp;D'!A24</f>
        <v>CONSTELLATION ENERGY GENERATION LLC</v>
      </c>
      <c r="B18" s="43"/>
      <c r="C18" s="34" t="str">
        <f>+'S&amp;D'!B24</f>
        <v>CEG</v>
      </c>
      <c r="D18" s="59">
        <f>'S&amp;D'!G24</f>
        <v>353.27</v>
      </c>
      <c r="E18" s="61">
        <f>+Earnings!E18</f>
        <v>11.5</v>
      </c>
      <c r="F18" s="69">
        <f t="shared" si="2"/>
        <v>30.719130434782606</v>
      </c>
      <c r="G18" s="56">
        <f t="shared" si="0"/>
        <v>3.2553004783876356E-2</v>
      </c>
      <c r="H18" s="12"/>
      <c r="I18" s="34" t="s">
        <v>46</v>
      </c>
      <c r="J18" s="59">
        <f t="shared" si="3"/>
        <v>353.27</v>
      </c>
      <c r="K18" s="61">
        <f>+Earnings!G18</f>
        <v>13.3</v>
      </c>
      <c r="L18" s="69">
        <f t="shared" si="4"/>
        <v>26.561654135338344</v>
      </c>
      <c r="M18" s="56">
        <f t="shared" si="1"/>
        <v>3.764825770657005E-2</v>
      </c>
      <c r="N18" s="12"/>
      <c r="O18" s="12"/>
    </row>
    <row r="19" spans="1:15" ht="17.25">
      <c r="A19" s="43" t="str">
        <f>+'S&amp;D'!A25</f>
        <v>NEXTERA ENERGY INC</v>
      </c>
      <c r="B19" s="43"/>
      <c r="C19" s="34" t="str">
        <f>+'S&amp;D'!B25</f>
        <v>NEE</v>
      </c>
      <c r="D19" s="59">
        <f>'S&amp;D'!G25</f>
        <v>80.28</v>
      </c>
      <c r="E19" s="61">
        <f>+Earnings!E19</f>
        <v>4</v>
      </c>
      <c r="F19" s="69">
        <f t="shared" ref="F19" si="5">D19/E19</f>
        <v>20.07</v>
      </c>
      <c r="G19" s="56">
        <f t="shared" ref="G19" si="6">1/F19</f>
        <v>4.9825610363726958E-2</v>
      </c>
      <c r="H19" s="12"/>
      <c r="I19" s="34" t="s">
        <v>46</v>
      </c>
      <c r="J19" s="59">
        <f t="shared" ref="J19" si="7">+D19</f>
        <v>80.28</v>
      </c>
      <c r="K19" s="61">
        <f>+Earnings!G19</f>
        <v>4.3499999999999996</v>
      </c>
      <c r="L19" s="69">
        <f t="shared" ref="L19" si="8">J19/K19</f>
        <v>18.455172413793104</v>
      </c>
      <c r="M19" s="56">
        <f t="shared" ref="M19" si="9">1/L19</f>
        <v>5.4185351270553066E-2</v>
      </c>
      <c r="N19" s="12"/>
      <c r="O19" s="12"/>
    </row>
    <row r="20" spans="1:15" ht="17.25">
      <c r="A20" s="43" t="str">
        <f>+'S&amp;D'!A26</f>
        <v>NRG ENERGY</v>
      </c>
      <c r="B20" s="43"/>
      <c r="C20" s="34" t="str">
        <f>+'S&amp;D'!B26</f>
        <v>NRG</v>
      </c>
      <c r="D20" s="59">
        <f>'S&amp;D'!G26</f>
        <v>159.24</v>
      </c>
      <c r="E20" s="61">
        <f>+Earnings!E20</f>
        <v>7.5</v>
      </c>
      <c r="F20" s="69">
        <f>D20/E20</f>
        <v>21.232000000000003</v>
      </c>
      <c r="G20" s="56">
        <f t="shared" si="0"/>
        <v>4.709871891484551E-2</v>
      </c>
      <c r="H20" s="12"/>
      <c r="I20" s="34" t="s">
        <v>47</v>
      </c>
      <c r="J20" s="59">
        <f t="shared" si="3"/>
        <v>159.24</v>
      </c>
      <c r="K20" s="61">
        <f>+Earnings!G20</f>
        <v>8.5</v>
      </c>
      <c r="L20" s="69">
        <f t="shared" si="4"/>
        <v>18.734117647058824</v>
      </c>
      <c r="M20" s="56">
        <f t="shared" si="1"/>
        <v>5.3378548103491581E-2</v>
      </c>
      <c r="N20" s="12"/>
      <c r="O20" s="12"/>
    </row>
    <row r="21" spans="1:15" ht="17.25">
      <c r="A21" s="43" t="str">
        <f>+'S&amp;D'!A27</f>
        <v>SOUTHERN COMPANY</v>
      </c>
      <c r="B21" s="43"/>
      <c r="C21" s="34" t="str">
        <f>+'S&amp;D'!B27</f>
        <v>SO</v>
      </c>
      <c r="D21" s="59">
        <f>'S&amp;D'!G27</f>
        <v>87.2</v>
      </c>
      <c r="E21" s="61">
        <f>+Earnings!E21</f>
        <v>4.55</v>
      </c>
      <c r="F21" s="69">
        <f t="shared" si="2"/>
        <v>19.164835164835168</v>
      </c>
      <c r="G21" s="56">
        <f t="shared" si="0"/>
        <v>5.21788990825688E-2</v>
      </c>
      <c r="H21" s="12"/>
      <c r="I21" s="34" t="s">
        <v>48</v>
      </c>
      <c r="J21" s="59">
        <f t="shared" si="3"/>
        <v>87.2</v>
      </c>
      <c r="K21" s="61">
        <f>+Earnings!G21</f>
        <v>4.8</v>
      </c>
      <c r="L21" s="69">
        <f t="shared" si="4"/>
        <v>18.166666666666668</v>
      </c>
      <c r="M21" s="56">
        <f t="shared" si="1"/>
        <v>5.5045871559633024E-2</v>
      </c>
      <c r="N21" s="12"/>
      <c r="O21" s="12"/>
    </row>
    <row r="22" spans="1:15" ht="17.25">
      <c r="A22" s="43" t="str">
        <f>+'S&amp;D'!A28</f>
        <v>VISTRA ENERGY CORPORATION</v>
      </c>
      <c r="B22" s="43"/>
      <c r="C22" s="34" t="str">
        <f>+'S&amp;D'!B28</f>
        <v>VST</v>
      </c>
      <c r="D22" s="59">
        <f>'S&amp;D'!G28</f>
        <v>161.33000000000001</v>
      </c>
      <c r="E22" s="61">
        <f>+Earnings!E22</f>
        <v>8.6999999999999993</v>
      </c>
      <c r="F22" s="69">
        <f t="shared" si="2"/>
        <v>18.543678160919544</v>
      </c>
      <c r="G22" s="56">
        <f t="shared" si="0"/>
        <v>5.3926734023430227E-2</v>
      </c>
      <c r="H22" s="12"/>
      <c r="I22" s="34" t="s">
        <v>45</v>
      </c>
      <c r="J22" s="59">
        <f t="shared" si="3"/>
        <v>161.33000000000001</v>
      </c>
      <c r="K22" s="61">
        <f>+Earnings!G22</f>
        <v>11.2</v>
      </c>
      <c r="L22" s="69">
        <f t="shared" si="4"/>
        <v>14.404464285714289</v>
      </c>
      <c r="M22" s="56">
        <f t="shared" si="1"/>
        <v>6.9422921961197537E-2</v>
      </c>
      <c r="N22" s="12"/>
      <c r="O22" s="12"/>
    </row>
    <row r="23" spans="1:15" ht="18" thickBot="1">
      <c r="A23" s="12"/>
      <c r="B23" s="12"/>
      <c r="C23" s="70"/>
      <c r="D23" s="70"/>
      <c r="E23" s="70"/>
      <c r="F23" s="70"/>
      <c r="G23" s="70"/>
      <c r="H23" s="12"/>
      <c r="I23" s="70"/>
      <c r="J23" s="64" t="s">
        <v>0</v>
      </c>
      <c r="K23" s="70"/>
      <c r="L23" s="70"/>
      <c r="M23" s="70"/>
      <c r="N23" s="12"/>
      <c r="O23" s="12"/>
    </row>
    <row r="24" spans="1:15" ht="17.25" thickTop="1">
      <c r="A24" s="12"/>
      <c r="B24" s="12"/>
      <c r="D24" s="14" t="s">
        <v>51</v>
      </c>
      <c r="E24" s="270">
        <f>MAX(E16:E22)</f>
        <v>11.5</v>
      </c>
      <c r="F24" s="270">
        <f t="shared" ref="F24:G24" si="10">MAX(F16:F22)</f>
        <v>30.719130434782606</v>
      </c>
      <c r="G24" s="265">
        <f t="shared" si="10"/>
        <v>0.22292993630573249</v>
      </c>
      <c r="H24" s="12"/>
      <c r="J24" s="14" t="s">
        <v>51</v>
      </c>
      <c r="K24" s="270">
        <f>MAX(K16:K22)</f>
        <v>13.3</v>
      </c>
      <c r="L24" s="270">
        <f t="shared" ref="L24:M24" si="11">MAX(L16:L22)</f>
        <v>26.561654135338344</v>
      </c>
      <c r="M24" s="265">
        <f t="shared" si="11"/>
        <v>0.23354564755838644</v>
      </c>
      <c r="N24" s="12"/>
      <c r="O24" s="12"/>
    </row>
    <row r="25" spans="1:15" ht="16.5">
      <c r="A25" s="12"/>
      <c r="B25" s="12"/>
      <c r="D25" s="259" t="s">
        <v>52</v>
      </c>
      <c r="E25" s="273">
        <f>MIN(E16:E22)</f>
        <v>2.1</v>
      </c>
      <c r="F25" s="273">
        <f t="shared" ref="F25:G25" si="12">MIN(F16:F22)</f>
        <v>4.4857142857142858</v>
      </c>
      <c r="G25" s="266">
        <f t="shared" si="12"/>
        <v>3.2553004783876356E-2</v>
      </c>
      <c r="H25" s="12"/>
      <c r="J25" s="259" t="s">
        <v>52</v>
      </c>
      <c r="K25" s="273">
        <f>MIN(K16:K22)</f>
        <v>2.2000000000000002</v>
      </c>
      <c r="L25" s="273">
        <f t="shared" ref="L25:M25" si="13">MIN(L16:L22)</f>
        <v>4.2818181818181813</v>
      </c>
      <c r="M25" s="266">
        <f t="shared" si="13"/>
        <v>3.764825770657005E-2</v>
      </c>
      <c r="N25" s="12"/>
      <c r="O25" s="12"/>
    </row>
    <row r="26" spans="1:15" ht="16.5">
      <c r="A26" s="12"/>
      <c r="B26" s="12"/>
      <c r="D26" s="14" t="s">
        <v>18</v>
      </c>
      <c r="E26" s="71">
        <f>MEDIAN(E16:E22)</f>
        <v>4.55</v>
      </c>
      <c r="F26" s="21">
        <f>MEDIAN(F16:F22)</f>
        <v>19.164835164835168</v>
      </c>
      <c r="G26" s="56">
        <f>MEDIAN(G16:G22)</f>
        <v>5.21788990825688E-2</v>
      </c>
      <c r="H26" s="12"/>
      <c r="J26" s="14" t="s">
        <v>18</v>
      </c>
      <c r="K26" s="71">
        <f>MEDIAN(K16:K22)</f>
        <v>4.8</v>
      </c>
      <c r="L26" s="21">
        <f>MEDIAN(L16:L22)</f>
        <v>18.166666666666668</v>
      </c>
      <c r="M26" s="56">
        <f>MEDIAN(M16:M22)</f>
        <v>5.5045871559633024E-2</v>
      </c>
      <c r="N26" s="12"/>
      <c r="O26" s="12"/>
    </row>
    <row r="27" spans="1:15" ht="16.5">
      <c r="A27" s="12"/>
      <c r="B27" s="12"/>
      <c r="D27" s="14" t="s">
        <v>375</v>
      </c>
      <c r="E27" s="17">
        <f>AVERAGE(E16:E22)</f>
        <v>5.9928571428571429</v>
      </c>
      <c r="F27" s="21">
        <f>AVERAGE(F16:F22)</f>
        <v>18.641479720893084</v>
      </c>
      <c r="G27" s="72">
        <f>AVERAGE(G16:G22)</f>
        <v>7.4279547983693517E-2</v>
      </c>
      <c r="H27" s="12"/>
      <c r="J27" s="14" t="s">
        <v>375</v>
      </c>
      <c r="K27" s="17">
        <f>AVERAGE(K16:K22)</f>
        <v>6.8857142857142861</v>
      </c>
      <c r="L27" s="21">
        <f>AVERAGE(L16:L22)</f>
        <v>16.546010735510176</v>
      </c>
      <c r="M27" s="72">
        <f>AVERAGE(M16:M22)</f>
        <v>8.1276781474616686E-2</v>
      </c>
      <c r="N27" s="12"/>
      <c r="O27" s="12"/>
    </row>
    <row r="28" spans="1:15" ht="16.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26.25">
      <c r="A29" s="12"/>
      <c r="B29" s="12"/>
      <c r="C29" s="12"/>
      <c r="D29" s="12"/>
      <c r="E29" s="76" t="s">
        <v>84</v>
      </c>
      <c r="F29" s="331">
        <v>18.64</v>
      </c>
      <c r="G29" s="287">
        <v>7.4300000000000005E-2</v>
      </c>
      <c r="H29" s="12"/>
      <c r="I29" s="12"/>
      <c r="J29" s="12"/>
      <c r="K29" s="76" t="s">
        <v>84</v>
      </c>
      <c r="L29" s="330">
        <v>16.55</v>
      </c>
      <c r="M29" s="287">
        <v>8.1299999999999997E-2</v>
      </c>
      <c r="N29" s="12"/>
      <c r="O29" s="12"/>
    </row>
    <row r="30" spans="1:15" ht="16.5">
      <c r="A30" s="12"/>
      <c r="B30" s="12"/>
      <c r="C30" s="12"/>
      <c r="D30" s="12"/>
      <c r="E30" s="12"/>
      <c r="F30" s="12"/>
      <c r="K30" s="12"/>
      <c r="L30" s="12"/>
      <c r="M30" s="12"/>
      <c r="N30" s="12"/>
      <c r="O30" s="12"/>
    </row>
    <row r="31" spans="1:15" ht="16.5">
      <c r="A31" s="12"/>
      <c r="B31" s="12"/>
      <c r="C31" s="12"/>
      <c r="D31" s="12"/>
      <c r="E31" s="12"/>
      <c r="F31" s="12"/>
      <c r="K31" s="12"/>
      <c r="L31" s="12"/>
      <c r="M31" s="12"/>
      <c r="N31" s="12"/>
      <c r="O31" s="12"/>
    </row>
    <row r="32" spans="1:15" ht="17.25" thickBot="1">
      <c r="A32" s="12"/>
      <c r="B32" s="12"/>
      <c r="C32" s="12"/>
      <c r="D32" s="12"/>
      <c r="E32" s="12"/>
      <c r="F32" s="12"/>
      <c r="K32" s="12"/>
      <c r="L32" s="12"/>
      <c r="M32" s="12"/>
      <c r="N32" s="12"/>
      <c r="O32" s="12"/>
    </row>
    <row r="33" spans="1:15" ht="30.75" customHeight="1" thickBot="1">
      <c r="A33" s="74" t="s">
        <v>0</v>
      </c>
      <c r="B33" s="74"/>
      <c r="C33" s="12"/>
      <c r="D33" s="12"/>
      <c r="E33" s="12"/>
      <c r="F33" s="12"/>
      <c r="G33" s="24" t="s">
        <v>129</v>
      </c>
      <c r="H33" s="12"/>
      <c r="I33" s="195">
        <f>(+F29+L29)/2</f>
        <v>17.594999999999999</v>
      </c>
      <c r="J33" s="196">
        <f>(+G29+M29)/2</f>
        <v>7.7800000000000008E-2</v>
      </c>
      <c r="N33" s="12"/>
      <c r="O33" s="12"/>
    </row>
    <row r="34" spans="1:15" ht="16.5">
      <c r="A34" s="74" t="s">
        <v>0</v>
      </c>
      <c r="B34" s="74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6.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6.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15.75" thickBot="1">
      <c r="B37" s="142"/>
      <c r="C37" s="142"/>
      <c r="D37" s="142"/>
      <c r="E37" s="142"/>
      <c r="F37" s="142"/>
      <c r="G37" s="142"/>
      <c r="H37" s="142"/>
    </row>
    <row r="38" spans="1:15" ht="26.25">
      <c r="B38" s="30"/>
      <c r="C38" s="12"/>
      <c r="D38" s="12"/>
      <c r="E38" s="31" t="s">
        <v>435</v>
      </c>
      <c r="F38" s="12"/>
      <c r="G38" s="12"/>
    </row>
    <row r="39" spans="1:15" ht="21" thickBot="1">
      <c r="A39" s="30"/>
      <c r="B39" s="143"/>
      <c r="C39" s="29"/>
      <c r="D39" s="29"/>
      <c r="E39" s="36" t="s">
        <v>492</v>
      </c>
      <c r="F39" s="29"/>
      <c r="G39" s="29"/>
      <c r="H39" s="142"/>
    </row>
    <row r="40" spans="1:15" ht="15.75" thickBot="1">
      <c r="A40" s="33" t="s">
        <v>0</v>
      </c>
      <c r="B40" s="33"/>
      <c r="C40" s="33" t="s">
        <v>0</v>
      </c>
      <c r="D40" s="33" t="s">
        <v>0</v>
      </c>
      <c r="E40" s="33" t="s">
        <v>0</v>
      </c>
      <c r="F40" s="33" t="s">
        <v>0</v>
      </c>
      <c r="G40" s="33" t="s">
        <v>0</v>
      </c>
    </row>
    <row r="41" spans="1:15" ht="16.5">
      <c r="A41" s="34" t="s">
        <v>0</v>
      </c>
      <c r="B41" s="34"/>
      <c r="C41" s="34" t="s">
        <v>3</v>
      </c>
      <c r="D41" s="34" t="s">
        <v>337</v>
      </c>
      <c r="E41" s="34" t="s">
        <v>338</v>
      </c>
      <c r="F41" s="34" t="s">
        <v>121</v>
      </c>
      <c r="G41" s="34" t="s">
        <v>26</v>
      </c>
    </row>
    <row r="42" spans="1:15" ht="17.25" thickBot="1">
      <c r="A42" s="36" t="s">
        <v>2</v>
      </c>
      <c r="B42" s="36"/>
      <c r="C42" s="36" t="s">
        <v>4</v>
      </c>
      <c r="D42" s="36" t="s">
        <v>27</v>
      </c>
      <c r="E42" s="36" t="s">
        <v>168</v>
      </c>
      <c r="F42" s="36" t="s">
        <v>28</v>
      </c>
      <c r="G42" s="36" t="s">
        <v>29</v>
      </c>
    </row>
    <row r="43" spans="1:15">
      <c r="A43" s="38" t="s">
        <v>0</v>
      </c>
      <c r="B43" s="38"/>
      <c r="C43" s="38" t="s">
        <v>0</v>
      </c>
      <c r="D43" s="39" t="s">
        <v>123</v>
      </c>
      <c r="E43" s="75" t="s">
        <v>240</v>
      </c>
      <c r="F43" s="38" t="s">
        <v>0</v>
      </c>
      <c r="G43" s="38" t="s">
        <v>0</v>
      </c>
    </row>
    <row r="44" spans="1:15" ht="16.5">
      <c r="A44" s="34"/>
      <c r="B44" s="34"/>
      <c r="C44" s="34"/>
      <c r="D44" s="34"/>
      <c r="E44" s="34"/>
      <c r="F44" s="34"/>
      <c r="G44" s="34"/>
    </row>
    <row r="45" spans="1:15" ht="16.5">
      <c r="A45" s="12"/>
      <c r="B45" s="12"/>
      <c r="C45" s="12"/>
      <c r="D45" s="12"/>
      <c r="E45" s="12"/>
      <c r="F45" s="12"/>
      <c r="G45" s="12"/>
    </row>
    <row r="46" spans="1:15" ht="17.25">
      <c r="A46" s="43" t="str">
        <f>+'S&amp;D'!A22</f>
        <v>AES CORPORATION</v>
      </c>
      <c r="B46" s="43"/>
      <c r="C46" s="34" t="str">
        <f>+'S&amp;D'!B22</f>
        <v>AES</v>
      </c>
      <c r="D46" s="59">
        <f>'S&amp;D'!G22</f>
        <v>9.42</v>
      </c>
      <c r="E46" s="61">
        <f>+Earnings!I16</f>
        <v>3</v>
      </c>
      <c r="F46" s="69">
        <f>D46/E46</f>
        <v>3.14</v>
      </c>
      <c r="G46" s="56">
        <f t="shared" ref="G46:G52" si="14">1/F46</f>
        <v>0.31847133757961782</v>
      </c>
    </row>
    <row r="47" spans="1:15" ht="17.25">
      <c r="A47" s="43" t="str">
        <f>+'S&amp;D'!A23</f>
        <v>DOMINION ENERGY INC</v>
      </c>
      <c r="B47" s="43"/>
      <c r="C47" s="34" t="str">
        <f>+'S&amp;D'!B23</f>
        <v>D</v>
      </c>
      <c r="D47" s="59">
        <f>'S&amp;D'!G23</f>
        <v>58.59</v>
      </c>
      <c r="E47" s="61">
        <f>+Earnings!I17</f>
        <v>4.5999999999999996</v>
      </c>
      <c r="F47" s="69">
        <f t="shared" ref="F47:F48" si="15">D47/E47</f>
        <v>12.736956521739133</v>
      </c>
      <c r="G47" s="56">
        <f t="shared" si="14"/>
        <v>7.8511691414917206E-2</v>
      </c>
    </row>
    <row r="48" spans="1:15" ht="17.25">
      <c r="A48" s="43" t="str">
        <f>+'S&amp;D'!A24</f>
        <v>CONSTELLATION ENERGY GENERATION LLC</v>
      </c>
      <c r="B48" s="43"/>
      <c r="C48" s="34" t="str">
        <f>+'S&amp;D'!B24</f>
        <v>CEG</v>
      </c>
      <c r="D48" s="59">
        <f>'S&amp;D'!G24</f>
        <v>353.27</v>
      </c>
      <c r="E48" s="61">
        <f>+Earnings!I18</f>
        <v>18.5</v>
      </c>
      <c r="F48" s="69">
        <f t="shared" si="15"/>
        <v>19.095675675675675</v>
      </c>
      <c r="G48" s="56">
        <f t="shared" si="14"/>
        <v>5.2367877261018485E-2</v>
      </c>
    </row>
    <row r="49" spans="1:7" ht="17.25">
      <c r="A49" s="43" t="str">
        <f>+'S&amp;D'!A25</f>
        <v>NEXTERA ENERGY INC</v>
      </c>
      <c r="B49" s="43"/>
      <c r="C49" s="34" t="str">
        <f>+'S&amp;D'!B25</f>
        <v>NEE</v>
      </c>
      <c r="D49" s="59">
        <f>'S&amp;D'!G25</f>
        <v>80.28</v>
      </c>
      <c r="E49" s="61">
        <f>+Earnings!I19</f>
        <v>5.5</v>
      </c>
      <c r="F49" s="69">
        <f t="shared" ref="F49" si="16">D49/E49</f>
        <v>14.596363636363636</v>
      </c>
      <c r="G49" s="56">
        <f t="shared" ref="G49" si="17">1/F49</f>
        <v>6.8510214250124574E-2</v>
      </c>
    </row>
    <row r="50" spans="1:7" ht="17.25">
      <c r="A50" s="43" t="str">
        <f>+'S&amp;D'!A26</f>
        <v>NRG ENERGY</v>
      </c>
      <c r="B50" s="43"/>
      <c r="C50" s="34" t="str">
        <f>+'S&amp;D'!B26</f>
        <v>NRG</v>
      </c>
      <c r="D50" s="59">
        <f>'S&amp;D'!G26</f>
        <v>159.24</v>
      </c>
      <c r="E50" s="61">
        <f>+Earnings!I20</f>
        <v>10.85</v>
      </c>
      <c r="F50" s="69">
        <f>D50/E50</f>
        <v>14.676497695852536</v>
      </c>
      <c r="G50" s="56">
        <f t="shared" si="14"/>
        <v>6.8136146696809841E-2</v>
      </c>
    </row>
    <row r="51" spans="1:7" ht="17.25">
      <c r="A51" s="43" t="str">
        <f>+'S&amp;D'!A27</f>
        <v>SOUTHERN COMPANY</v>
      </c>
      <c r="B51" s="43"/>
      <c r="C51" s="34" t="str">
        <f>+'S&amp;D'!B27</f>
        <v>SO</v>
      </c>
      <c r="D51" s="59">
        <f>'S&amp;D'!G27</f>
        <v>87.2</v>
      </c>
      <c r="E51" s="61">
        <f>+Earnings!I21</f>
        <v>6</v>
      </c>
      <c r="F51" s="69">
        <f t="shared" ref="F51:F52" si="18">D51/E51</f>
        <v>14.533333333333333</v>
      </c>
      <c r="G51" s="56">
        <f t="shared" si="14"/>
        <v>6.8807339449541288E-2</v>
      </c>
    </row>
    <row r="52" spans="1:7" ht="17.25">
      <c r="A52" s="43" t="str">
        <f>+'S&amp;D'!A28</f>
        <v>VISTRA ENERGY CORPORATION</v>
      </c>
      <c r="B52" s="43"/>
      <c r="C52" s="34" t="str">
        <f>+'S&amp;D'!B28</f>
        <v>VST</v>
      </c>
      <c r="D52" s="59">
        <f>'S&amp;D'!G28</f>
        <v>161.33000000000001</v>
      </c>
      <c r="E52" s="61">
        <f>+Earnings!I22</f>
        <v>17.100000000000001</v>
      </c>
      <c r="F52" s="69">
        <f t="shared" si="18"/>
        <v>9.4345029239766074</v>
      </c>
      <c r="G52" s="56">
        <f t="shared" si="14"/>
        <v>0.1059939254943284</v>
      </c>
    </row>
    <row r="53" spans="1:7" ht="17.25" thickBot="1">
      <c r="A53" s="12"/>
      <c r="B53" s="12"/>
      <c r="C53" s="70"/>
      <c r="D53" s="70"/>
      <c r="E53" s="70"/>
      <c r="F53" s="70"/>
      <c r="G53" s="70"/>
    </row>
    <row r="54" spans="1:7" ht="17.25" thickTop="1">
      <c r="A54" s="12"/>
      <c r="B54" s="12"/>
      <c r="D54" s="14" t="s">
        <v>51</v>
      </c>
      <c r="E54" s="270">
        <f t="shared" ref="E54:G54" si="19">MAX(E46:E52)</f>
        <v>18.5</v>
      </c>
      <c r="F54" s="270">
        <f t="shared" si="19"/>
        <v>19.095675675675675</v>
      </c>
      <c r="G54" s="265">
        <f t="shared" si="19"/>
        <v>0.31847133757961782</v>
      </c>
    </row>
    <row r="55" spans="1:7" ht="16.5">
      <c r="A55" s="12"/>
      <c r="B55" s="12"/>
      <c r="D55" s="14" t="s">
        <v>52</v>
      </c>
      <c r="E55" s="270">
        <f t="shared" ref="E55:G55" si="20">MIN(E46:E52)</f>
        <v>3</v>
      </c>
      <c r="F55" s="270">
        <f>MIN(F46:F52)</f>
        <v>3.14</v>
      </c>
      <c r="G55" s="265">
        <f t="shared" si="20"/>
        <v>5.2367877261018485E-2</v>
      </c>
    </row>
    <row r="56" spans="1:7" ht="16.5">
      <c r="A56" s="12"/>
      <c r="B56" s="12"/>
      <c r="D56" s="14" t="s">
        <v>18</v>
      </c>
      <c r="E56" s="71">
        <f>MEDIAN(E46:E52)</f>
        <v>6</v>
      </c>
      <c r="F56" s="21">
        <f>MEDIAN(F46:F52)</f>
        <v>14.533333333333333</v>
      </c>
      <c r="G56" s="56">
        <f>MEDIAN(G46:G52)</f>
        <v>6.8807339449541288E-2</v>
      </c>
    </row>
    <row r="57" spans="1:7" ht="16.5">
      <c r="A57" s="12"/>
      <c r="B57" s="12"/>
      <c r="D57" s="14" t="s">
        <v>375</v>
      </c>
      <c r="E57" s="17">
        <f>AVERAGE(E46:E52)</f>
        <v>9.3642857142857157</v>
      </c>
      <c r="F57" s="21">
        <f>AVERAGE(F46:F52)</f>
        <v>12.601904255277274</v>
      </c>
      <c r="G57" s="72">
        <f>AVERAGE(G46:G52)</f>
        <v>0.10868550459233682</v>
      </c>
    </row>
    <row r="58" spans="1:7" ht="16.5">
      <c r="A58" s="12"/>
      <c r="B58" s="12"/>
      <c r="C58" s="12"/>
      <c r="D58" s="12"/>
      <c r="E58" s="12"/>
      <c r="F58" s="12"/>
      <c r="G58" s="12"/>
    </row>
    <row r="59" spans="1:7" ht="26.25">
      <c r="A59" s="12"/>
      <c r="B59" s="12"/>
      <c r="C59" s="12"/>
      <c r="D59" s="12"/>
      <c r="E59" s="76" t="s">
        <v>84</v>
      </c>
      <c r="F59" s="331">
        <v>12.6</v>
      </c>
      <c r="G59" s="287">
        <v>0.1087</v>
      </c>
    </row>
  </sheetData>
  <pageMargins left="0.25" right="0.25" top="0.75" bottom="0.75" header="0.3" footer="0.3"/>
  <pageSetup scale="36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FFEC-1F00-437E-BAA4-D2A0B875528B}">
  <sheetPr>
    <tabColor rgb="FF92D050"/>
    <pageSetUpPr fitToPage="1"/>
  </sheetPr>
  <dimension ref="A1:J85"/>
  <sheetViews>
    <sheetView view="pageBreakPreview" topLeftCell="A57" zoomScale="60" zoomScaleNormal="80" workbookViewId="0">
      <selection activeCell="A76" sqref="A76"/>
    </sheetView>
  </sheetViews>
  <sheetFormatPr defaultRowHeight="15"/>
  <cols>
    <col min="1" max="1" width="74.5703125" customWidth="1"/>
    <col min="2" max="2" width="21.710937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7109375" customWidth="1"/>
    <col min="9" max="9" width="13.85546875" customWidth="1"/>
    <col min="10" max="11" width="14.140625" bestFit="1" customWidth="1"/>
  </cols>
  <sheetData>
    <row r="1" spans="1:10" ht="26.25">
      <c r="A1" s="24" t="s">
        <v>1</v>
      </c>
      <c r="B1" s="24"/>
      <c r="C1" s="24"/>
      <c r="D1" s="12"/>
      <c r="E1" s="12"/>
      <c r="F1" s="12"/>
      <c r="G1" s="12"/>
      <c r="H1" s="12"/>
      <c r="I1" s="12"/>
      <c r="J1" s="12"/>
    </row>
    <row r="2" spans="1:10" ht="17.25">
      <c r="A2" s="25" t="s">
        <v>9</v>
      </c>
      <c r="B2" s="25"/>
      <c r="C2" s="25"/>
      <c r="D2" s="12"/>
      <c r="E2" s="12"/>
      <c r="F2" s="12"/>
      <c r="G2" s="12"/>
      <c r="H2" s="12"/>
      <c r="I2" s="12"/>
      <c r="J2" s="12"/>
    </row>
    <row r="3" spans="1:10" ht="16.5">
      <c r="A3" s="26" t="s">
        <v>479</v>
      </c>
      <c r="B3" s="26"/>
      <c r="C3" s="26"/>
      <c r="D3" s="12"/>
      <c r="E3" s="12"/>
      <c r="F3" s="12"/>
      <c r="G3" s="12"/>
      <c r="H3" s="12"/>
      <c r="I3" s="12"/>
      <c r="J3" s="12"/>
    </row>
    <row r="4" spans="1:10" ht="16.5">
      <c r="A4" s="26"/>
      <c r="B4" s="26"/>
      <c r="C4" s="26"/>
      <c r="D4" s="12"/>
      <c r="E4" s="12"/>
      <c r="F4" s="12"/>
      <c r="G4" s="12"/>
      <c r="H4" s="12"/>
      <c r="I4" s="12"/>
      <c r="J4" s="12"/>
    </row>
    <row r="5" spans="1:10" ht="17.25" thickBot="1">
      <c r="A5" s="12"/>
      <c r="B5" s="12"/>
      <c r="C5" s="12"/>
      <c r="D5" s="12"/>
      <c r="E5" s="12"/>
      <c r="F5" s="12"/>
      <c r="G5" s="12"/>
      <c r="H5" s="469" t="s">
        <v>0</v>
      </c>
      <c r="I5" s="27"/>
      <c r="J5" s="12"/>
    </row>
    <row r="6" spans="1:10" ht="21" thickBot="1">
      <c r="A6" s="28" t="str">
        <f>+'S&amp;D'!A12</f>
        <v>Electric Wholesale (non-regulated) Power Generator</v>
      </c>
      <c r="B6" s="12"/>
      <c r="C6" s="12"/>
      <c r="D6" s="29"/>
      <c r="E6" s="29"/>
      <c r="F6" s="29"/>
      <c r="G6" s="12"/>
      <c r="H6" s="12"/>
      <c r="I6" s="12"/>
      <c r="J6" s="12"/>
    </row>
    <row r="7" spans="1:10" ht="26.25">
      <c r="B7" s="30"/>
      <c r="C7" s="30"/>
      <c r="D7" s="12"/>
      <c r="E7" s="31" t="s">
        <v>211</v>
      </c>
      <c r="F7" s="12"/>
      <c r="G7" s="12"/>
      <c r="H7" s="12"/>
      <c r="I7" s="12"/>
      <c r="J7" s="12"/>
    </row>
    <row r="8" spans="1:10" ht="21" thickBot="1">
      <c r="A8" s="30"/>
      <c r="B8" s="30"/>
      <c r="C8" s="30"/>
      <c r="D8" s="29"/>
      <c r="E8" s="32" t="s">
        <v>492</v>
      </c>
      <c r="F8" s="29"/>
      <c r="G8" s="12"/>
      <c r="H8" s="12"/>
      <c r="I8" s="12"/>
      <c r="J8" s="12"/>
    </row>
    <row r="9" spans="1:10" ht="20.25">
      <c r="A9" s="30"/>
      <c r="B9" s="30"/>
      <c r="C9" s="30"/>
      <c r="D9" s="12"/>
      <c r="E9" s="34"/>
      <c r="F9" s="12"/>
      <c r="G9" s="12"/>
      <c r="H9" s="12"/>
      <c r="I9" s="12"/>
      <c r="J9" s="12"/>
    </row>
    <row r="10" spans="1:10" ht="20.25">
      <c r="A10" s="30"/>
      <c r="B10" s="30"/>
      <c r="H10" s="12"/>
      <c r="I10" s="12"/>
      <c r="J10" s="12"/>
    </row>
    <row r="11" spans="1:10" ht="20.25">
      <c r="A11" s="30"/>
      <c r="B11" s="30"/>
      <c r="H11" s="12"/>
      <c r="I11" s="12"/>
      <c r="J11" s="12"/>
    </row>
    <row r="12" spans="1:10" ht="30" customHeight="1" thickBot="1">
      <c r="A12" s="30"/>
      <c r="B12" s="30"/>
      <c r="C12" t="s">
        <v>0</v>
      </c>
      <c r="H12" s="12"/>
      <c r="I12" s="12"/>
      <c r="J12" s="12"/>
    </row>
    <row r="13" spans="1:10" ht="26.25" customHeight="1" thickBot="1">
      <c r="A13" s="151" t="s">
        <v>226</v>
      </c>
      <c r="B13" s="12" t="s">
        <v>0</v>
      </c>
      <c r="C13" s="12"/>
      <c r="D13" s="12"/>
      <c r="E13" s="12"/>
      <c r="F13" s="12"/>
      <c r="G13" s="12"/>
      <c r="H13" s="12"/>
      <c r="I13" s="12"/>
      <c r="J13" s="12"/>
    </row>
    <row r="14" spans="1:10" ht="42" customHeight="1" thickBot="1">
      <c r="A14" s="150" t="s">
        <v>224</v>
      </c>
      <c r="B14" s="149" t="s">
        <v>215</v>
      </c>
      <c r="C14" s="148" t="s">
        <v>227</v>
      </c>
      <c r="D14" s="149" t="s">
        <v>217</v>
      </c>
      <c r="E14" s="149" t="s">
        <v>366</v>
      </c>
      <c r="F14" s="147" t="s">
        <v>216</v>
      </c>
      <c r="G14" s="12"/>
      <c r="H14" s="12"/>
      <c r="I14" s="12"/>
      <c r="J14" s="12"/>
    </row>
    <row r="15" spans="1:10" ht="16.5">
      <c r="A15" s="144"/>
      <c r="B15" s="112"/>
      <c r="C15" s="112"/>
      <c r="D15" s="112"/>
      <c r="E15" s="112"/>
      <c r="F15" s="145"/>
      <c r="G15" s="12"/>
      <c r="H15" s="12"/>
      <c r="I15" s="12"/>
      <c r="J15" s="12"/>
    </row>
    <row r="16" spans="1:10" ht="17.25">
      <c r="A16" s="174" t="s">
        <v>369</v>
      </c>
      <c r="B16" s="186">
        <v>2.9399999999999999E-2</v>
      </c>
      <c r="C16" s="183">
        <f>+'Beta for CAPM'!H30</f>
        <v>1.02</v>
      </c>
      <c r="D16" s="175">
        <f>+B16*C16</f>
        <v>2.9988000000000001E-2</v>
      </c>
      <c r="E16" s="175">
        <f>+'Growth &amp; Inflation Rates'!$G$24</f>
        <v>4.8099999999999997E-2</v>
      </c>
      <c r="F16" s="176">
        <f>+D16+E16</f>
        <v>7.8087999999999991E-2</v>
      </c>
      <c r="G16" s="12"/>
      <c r="H16" s="12"/>
      <c r="I16" s="12"/>
      <c r="J16" s="12"/>
    </row>
    <row r="17" spans="1:10" ht="17.25">
      <c r="A17" s="174" t="s">
        <v>370</v>
      </c>
      <c r="B17" s="186">
        <v>2.98E-2</v>
      </c>
      <c r="C17" s="183">
        <f>+C16</f>
        <v>1.02</v>
      </c>
      <c r="D17" s="175">
        <f>+B17*C17</f>
        <v>3.0395999999999999E-2</v>
      </c>
      <c r="E17" s="175">
        <f>+'Growth &amp; Inflation Rates'!$G$24</f>
        <v>4.8099999999999997E-2</v>
      </c>
      <c r="F17" s="176">
        <f>+D17+E17</f>
        <v>7.8495999999999996E-2</v>
      </c>
      <c r="G17" s="12"/>
      <c r="H17" s="12"/>
      <c r="I17" s="12"/>
      <c r="J17" s="12"/>
    </row>
    <row r="18" spans="1:10" ht="17.25">
      <c r="A18" s="177"/>
      <c r="B18" s="108"/>
      <c r="C18" s="108"/>
      <c r="D18" s="108"/>
      <c r="E18" s="108"/>
      <c r="F18" s="178"/>
      <c r="G18" s="12"/>
      <c r="H18" s="12"/>
      <c r="I18" s="12"/>
      <c r="J18" s="12"/>
    </row>
    <row r="19" spans="1:10" ht="17.25">
      <c r="A19" s="174" t="s">
        <v>382</v>
      </c>
      <c r="B19" s="186">
        <v>4.2299999999999997E-2</v>
      </c>
      <c r="C19" s="183">
        <f>+C16</f>
        <v>1.02</v>
      </c>
      <c r="D19" s="175">
        <f>+B19*C19</f>
        <v>4.3145999999999997E-2</v>
      </c>
      <c r="E19" s="175">
        <f>+'Growth &amp; Inflation Rates'!$G$24</f>
        <v>4.8099999999999997E-2</v>
      </c>
      <c r="F19" s="176">
        <f>+D19+E19</f>
        <v>9.1245999999999994E-2</v>
      </c>
      <c r="G19" s="12"/>
      <c r="H19" s="12"/>
      <c r="I19" s="12"/>
      <c r="J19" s="12"/>
    </row>
    <row r="20" spans="1:10" ht="17.25">
      <c r="A20" s="174" t="s">
        <v>401</v>
      </c>
      <c r="B20" s="186">
        <v>6.1800000000000001E-2</v>
      </c>
      <c r="C20" s="183">
        <f>+C16</f>
        <v>1.02</v>
      </c>
      <c r="D20" s="175">
        <f>+B20*C20</f>
        <v>6.3036000000000009E-2</v>
      </c>
      <c r="E20" s="175">
        <f>+'Growth &amp; Inflation Rates'!$G$24</f>
        <v>4.8099999999999997E-2</v>
      </c>
      <c r="F20" s="176">
        <f>+D20+E20</f>
        <v>0.11113600000000001</v>
      </c>
      <c r="G20" s="12"/>
      <c r="H20" s="12"/>
      <c r="I20" s="12"/>
      <c r="J20" s="12"/>
    </row>
    <row r="21" spans="1:10" ht="17.25">
      <c r="A21" s="174" t="s">
        <v>383</v>
      </c>
      <c r="B21" s="186">
        <v>3.9600000000000003E-2</v>
      </c>
      <c r="C21" s="183">
        <f>+C16</f>
        <v>1.02</v>
      </c>
      <c r="D21" s="175">
        <f>+B21*C21</f>
        <v>4.0392000000000004E-2</v>
      </c>
      <c r="E21" s="175">
        <f>+'Growth &amp; Inflation Rates'!$G$24</f>
        <v>4.8099999999999997E-2</v>
      </c>
      <c r="F21" s="176">
        <f>+D21+E21</f>
        <v>8.8492000000000001E-2</v>
      </c>
      <c r="G21" s="12"/>
      <c r="H21" s="12"/>
      <c r="I21" s="12"/>
      <c r="J21" s="12"/>
    </row>
    <row r="22" spans="1:10" ht="17.25">
      <c r="A22" s="174" t="s">
        <v>384</v>
      </c>
      <c r="B22" s="186">
        <v>3.6200000000000003E-2</v>
      </c>
      <c r="C22" s="183">
        <f>+C16</f>
        <v>1.02</v>
      </c>
      <c r="D22" s="175">
        <f>+B22*C22</f>
        <v>3.6924000000000005E-2</v>
      </c>
      <c r="E22" s="175">
        <f>+'Growth &amp; Inflation Rates'!$G$24</f>
        <v>4.8099999999999997E-2</v>
      </c>
      <c r="F22" s="176">
        <f>+D22+E22</f>
        <v>8.5024000000000002E-2</v>
      </c>
      <c r="G22" s="12"/>
      <c r="H22" s="12"/>
      <c r="I22" s="12"/>
      <c r="J22" s="12"/>
    </row>
    <row r="23" spans="1:10" ht="17.25">
      <c r="A23" s="174" t="s">
        <v>0</v>
      </c>
      <c r="B23" s="186"/>
      <c r="C23" s="184" t="s">
        <v>0</v>
      </c>
      <c r="D23" s="175" t="s">
        <v>0</v>
      </c>
      <c r="E23" s="175" t="s">
        <v>0</v>
      </c>
      <c r="F23" s="176" t="s">
        <v>0</v>
      </c>
      <c r="G23" s="12"/>
      <c r="H23" s="12"/>
      <c r="I23" s="12"/>
      <c r="J23" s="12"/>
    </row>
    <row r="24" spans="1:10" ht="17.25">
      <c r="A24" s="174" t="s">
        <v>220</v>
      </c>
      <c r="B24" s="186">
        <v>5.6099999999999997E-2</v>
      </c>
      <c r="C24" s="183">
        <f>+C16</f>
        <v>1.02</v>
      </c>
      <c r="D24" s="175">
        <f>+B24*C24</f>
        <v>5.7221999999999995E-2</v>
      </c>
      <c r="E24" s="175">
        <f>+'Growth &amp; Inflation Rates'!$G$24</f>
        <v>4.8099999999999997E-2</v>
      </c>
      <c r="F24" s="176">
        <f>+D24+E24</f>
        <v>0.105322</v>
      </c>
      <c r="G24" s="12"/>
      <c r="H24" s="12"/>
      <c r="I24" s="12"/>
      <c r="J24" s="12"/>
    </row>
    <row r="25" spans="1:10" ht="17.25">
      <c r="A25" s="174" t="s">
        <v>0</v>
      </c>
      <c r="B25" s="186"/>
      <c r="C25" s="184" t="s">
        <v>0</v>
      </c>
      <c r="D25" s="175" t="s">
        <v>0</v>
      </c>
      <c r="E25" s="175" t="s">
        <v>0</v>
      </c>
      <c r="F25" s="176" t="s">
        <v>0</v>
      </c>
      <c r="G25" s="12"/>
      <c r="H25" s="12"/>
      <c r="I25" s="12"/>
      <c r="J25" s="12"/>
    </row>
    <row r="26" spans="1:10" ht="17.25">
      <c r="A26" s="174" t="s">
        <v>400</v>
      </c>
      <c r="B26" s="186">
        <v>5.5E-2</v>
      </c>
      <c r="C26" s="183">
        <f>+C16</f>
        <v>1.02</v>
      </c>
      <c r="D26" s="175">
        <f>+B26*C26</f>
        <v>5.6100000000000004E-2</v>
      </c>
      <c r="E26" s="175">
        <f>+'Growth &amp; Inflation Rates'!$G$24</f>
        <v>4.8099999999999997E-2</v>
      </c>
      <c r="F26" s="176">
        <f>+D26+E26</f>
        <v>0.1042</v>
      </c>
      <c r="G26" s="12"/>
      <c r="H26" s="12"/>
      <c r="I26" s="12"/>
      <c r="J26" s="12"/>
    </row>
    <row r="27" spans="1:10" ht="17.25">
      <c r="A27" s="174" t="s">
        <v>0</v>
      </c>
      <c r="B27" s="186"/>
      <c r="C27" s="184" t="s">
        <v>0</v>
      </c>
      <c r="D27" s="175" t="s">
        <v>0</v>
      </c>
      <c r="E27" s="175" t="s">
        <v>0</v>
      </c>
      <c r="F27" s="176" t="s">
        <v>0</v>
      </c>
      <c r="G27" s="12"/>
      <c r="H27" s="12"/>
      <c r="I27" s="12"/>
      <c r="J27" s="12"/>
    </row>
    <row r="28" spans="1:10" ht="17.25">
      <c r="A28" s="174" t="s">
        <v>221</v>
      </c>
      <c r="B28" s="186">
        <v>6.7799999999999999E-2</v>
      </c>
      <c r="C28" s="183">
        <f>+C16</f>
        <v>1.02</v>
      </c>
      <c r="D28" s="175">
        <f>+B28*C28</f>
        <v>6.9155999999999995E-2</v>
      </c>
      <c r="E28" s="175">
        <f>+'Growth &amp; Inflation Rates'!$G$24</f>
        <v>4.8099999999999997E-2</v>
      </c>
      <c r="F28" s="176">
        <f>+D28+E28</f>
        <v>0.117256</v>
      </c>
      <c r="G28" s="12"/>
      <c r="H28" s="12"/>
      <c r="I28" s="12"/>
      <c r="J28" s="12"/>
    </row>
    <row r="29" spans="1:10" ht="17.25">
      <c r="A29" s="174" t="s">
        <v>222</v>
      </c>
      <c r="B29" s="186">
        <v>5.5399999999999998E-2</v>
      </c>
      <c r="C29" s="183">
        <f>+C16</f>
        <v>1.02</v>
      </c>
      <c r="D29" s="175">
        <f>+B29*C29</f>
        <v>5.6507999999999996E-2</v>
      </c>
      <c r="E29" s="175">
        <f>+'Growth &amp; Inflation Rates'!$G$24</f>
        <v>4.8099999999999997E-2</v>
      </c>
      <c r="F29" s="176">
        <f>+D29+E29</f>
        <v>0.10460799999999999</v>
      </c>
      <c r="G29" s="12"/>
      <c r="H29" s="12"/>
      <c r="I29" s="12"/>
      <c r="J29" s="12"/>
    </row>
    <row r="30" spans="1:10" ht="17.25">
      <c r="A30" s="174"/>
      <c r="B30" s="186"/>
      <c r="C30" s="183"/>
      <c r="D30" s="175"/>
      <c r="E30" s="175"/>
      <c r="F30" s="176"/>
      <c r="G30" s="12"/>
      <c r="H30" s="12"/>
      <c r="I30" s="12"/>
      <c r="J30" s="12"/>
    </row>
    <row r="31" spans="1:10" ht="17.25">
      <c r="A31" s="174" t="s">
        <v>385</v>
      </c>
      <c r="B31" s="186">
        <v>7.3700000000000002E-2</v>
      </c>
      <c r="C31" s="183">
        <f>+C16</f>
        <v>1.02</v>
      </c>
      <c r="D31" s="175">
        <f>+B31*C31</f>
        <v>7.5174000000000005E-2</v>
      </c>
      <c r="E31" s="175">
        <f>+'Growth &amp; Inflation Rates'!$G$24</f>
        <v>4.8099999999999997E-2</v>
      </c>
      <c r="F31" s="176">
        <f>+D31+E31</f>
        <v>0.12327399999999999</v>
      </c>
      <c r="G31" s="12"/>
      <c r="H31" s="12"/>
      <c r="I31" s="12"/>
      <c r="J31" s="12"/>
    </row>
    <row r="32" spans="1:10" ht="17.25">
      <c r="A32" s="174" t="s">
        <v>386</v>
      </c>
      <c r="B32" s="186">
        <v>6.3100000000000003E-2</v>
      </c>
      <c r="C32" s="183">
        <f>+C17</f>
        <v>1.02</v>
      </c>
      <c r="D32" s="175">
        <f>+B32*C32</f>
        <v>6.4362000000000003E-2</v>
      </c>
      <c r="E32" s="175">
        <f>+'Growth &amp; Inflation Rates'!$G$24</f>
        <v>4.8099999999999997E-2</v>
      </c>
      <c r="F32" s="176">
        <f>+D32+E32</f>
        <v>0.11246200000000001</v>
      </c>
      <c r="G32" s="12"/>
      <c r="H32" s="12"/>
      <c r="I32" s="12"/>
      <c r="J32" s="12"/>
    </row>
    <row r="33" spans="1:10" ht="17.25">
      <c r="A33" s="174" t="s">
        <v>387</v>
      </c>
      <c r="B33" s="186">
        <v>0.05</v>
      </c>
      <c r="C33" s="183">
        <f>+C16</f>
        <v>1.02</v>
      </c>
      <c r="D33" s="175">
        <f>+B33*C33</f>
        <v>5.1000000000000004E-2</v>
      </c>
      <c r="E33" s="175">
        <f>+'Growth &amp; Inflation Rates'!$G$24</f>
        <v>4.8099999999999997E-2</v>
      </c>
      <c r="F33" s="176">
        <f>+D33+E33</f>
        <v>9.9099999999999994E-2</v>
      </c>
      <c r="G33" s="12"/>
      <c r="H33" s="12"/>
      <c r="I33" s="12"/>
      <c r="J33" s="12"/>
    </row>
    <row r="34" spans="1:10" ht="17.25">
      <c r="A34" s="174"/>
      <c r="B34" s="186"/>
      <c r="C34" s="183"/>
      <c r="D34" s="175"/>
      <c r="E34" s="175"/>
      <c r="F34" s="176"/>
      <c r="G34" s="12"/>
      <c r="H34" s="12"/>
      <c r="I34" s="12"/>
      <c r="J34" s="12"/>
    </row>
    <row r="35" spans="1:10" ht="17.25">
      <c r="A35" s="338" t="s">
        <v>0</v>
      </c>
      <c r="B35" s="339" t="s">
        <v>0</v>
      </c>
      <c r="C35" s="183" t="s">
        <v>0</v>
      </c>
      <c r="D35" s="175" t="s">
        <v>0</v>
      </c>
      <c r="E35" s="175" t="s">
        <v>0</v>
      </c>
      <c r="F35" s="176" t="s">
        <v>0</v>
      </c>
      <c r="G35" s="12"/>
      <c r="H35" s="12"/>
      <c r="I35" s="12"/>
      <c r="J35" s="12"/>
    </row>
    <row r="36" spans="1:10" ht="17.25" thickBot="1">
      <c r="A36" s="309"/>
      <c r="B36" s="29"/>
      <c r="C36" s="29"/>
      <c r="D36" s="29"/>
      <c r="E36" s="29"/>
      <c r="F36" s="310"/>
      <c r="G36" s="12"/>
      <c r="H36" s="12"/>
      <c r="I36" s="12"/>
      <c r="J36" s="12"/>
    </row>
    <row r="37" spans="1:10" ht="16.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27" customHeight="1" thickBot="1">
      <c r="A38" s="12"/>
      <c r="B38" s="12"/>
      <c r="C38" s="12"/>
      <c r="D38" s="12"/>
      <c r="E38" s="12"/>
      <c r="F38" s="12"/>
      <c r="G38" s="12" t="s">
        <v>0</v>
      </c>
      <c r="H38" s="12"/>
      <c r="I38" s="12"/>
      <c r="J38" s="12"/>
    </row>
    <row r="39" spans="1:10" ht="18" thickBot="1">
      <c r="A39" s="151" t="s">
        <v>225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41.25" thickBot="1">
      <c r="A40" s="150" t="s">
        <v>223</v>
      </c>
      <c r="B40" s="149" t="s">
        <v>215</v>
      </c>
      <c r="C40" s="148" t="s">
        <v>227</v>
      </c>
      <c r="D40" s="149" t="s">
        <v>218</v>
      </c>
      <c r="E40" s="149" t="s">
        <v>219</v>
      </c>
      <c r="F40" s="149" t="s">
        <v>366</v>
      </c>
      <c r="G40" s="147" t="s">
        <v>216</v>
      </c>
      <c r="H40" s="12"/>
      <c r="I40" s="12"/>
      <c r="J40" s="12"/>
    </row>
    <row r="41" spans="1:10" ht="16.5">
      <c r="A41" s="144"/>
      <c r="B41" s="112"/>
      <c r="C41" s="112"/>
      <c r="D41" s="112"/>
      <c r="E41" s="112"/>
      <c r="F41" s="112"/>
      <c r="G41" s="145"/>
      <c r="H41" s="12"/>
      <c r="I41" s="12"/>
      <c r="J41" s="12"/>
    </row>
    <row r="42" spans="1:10" ht="17.25">
      <c r="A42" s="174" t="s">
        <v>369</v>
      </c>
      <c r="B42" s="186">
        <f>+B16</f>
        <v>2.9399999999999999E-2</v>
      </c>
      <c r="C42" s="182">
        <f>+C16</f>
        <v>1.02</v>
      </c>
      <c r="D42" s="175">
        <f>+B42*C42*0.75</f>
        <v>2.2491000000000001E-2</v>
      </c>
      <c r="E42" s="186">
        <f>+B42*0.25</f>
        <v>7.3499999999999998E-3</v>
      </c>
      <c r="F42" s="175">
        <f>+'Growth &amp; Inflation Rates'!$G$24</f>
        <v>4.8099999999999997E-2</v>
      </c>
      <c r="G42" s="176">
        <f>+D42+E42+F42</f>
        <v>7.7940999999999996E-2</v>
      </c>
      <c r="H42" s="12"/>
      <c r="I42" s="12"/>
      <c r="J42" s="12"/>
    </row>
    <row r="43" spans="1:10" ht="17.25">
      <c r="A43" s="174" t="s">
        <v>370</v>
      </c>
      <c r="B43" s="186">
        <f>+B17</f>
        <v>2.98E-2</v>
      </c>
      <c r="C43" s="182">
        <f>+C17</f>
        <v>1.02</v>
      </c>
      <c r="D43" s="175">
        <f>+B43*C43*0.75</f>
        <v>2.2796999999999998E-2</v>
      </c>
      <c r="E43" s="186">
        <f>+B43*0.25</f>
        <v>7.45E-3</v>
      </c>
      <c r="F43" s="175">
        <f>+'Growth &amp; Inflation Rates'!$G$24</f>
        <v>4.8099999999999997E-2</v>
      </c>
      <c r="G43" s="176">
        <f>+D43+E43+F43</f>
        <v>7.8347E-2</v>
      </c>
      <c r="H43" s="12"/>
      <c r="I43" s="12"/>
      <c r="J43" s="12"/>
    </row>
    <row r="44" spans="1:10" ht="17.25">
      <c r="A44" s="177"/>
      <c r="B44" s="108"/>
      <c r="C44" s="108"/>
      <c r="D44" s="108"/>
      <c r="E44" s="108"/>
      <c r="F44" s="108"/>
      <c r="G44" s="178"/>
      <c r="H44" s="12"/>
      <c r="I44" s="12"/>
      <c r="J44" s="12"/>
    </row>
    <row r="45" spans="1:10" ht="17.25">
      <c r="A45" s="174" t="str">
        <f>+A19</f>
        <v>Damodaran Implied ERP Ex Ante   Trailing 12 mo Cash Yield (3)</v>
      </c>
      <c r="B45" s="186">
        <f>+B19</f>
        <v>4.2299999999999997E-2</v>
      </c>
      <c r="C45" s="182">
        <f>+C19</f>
        <v>1.02</v>
      </c>
      <c r="D45" s="175">
        <f>+B45*C45*0.75</f>
        <v>3.2359499999999999E-2</v>
      </c>
      <c r="E45" s="186">
        <f>+B45*0.25</f>
        <v>1.0574999999999999E-2</v>
      </c>
      <c r="F45" s="175">
        <f>+'Growth &amp; Inflation Rates'!$G$24</f>
        <v>4.8099999999999997E-2</v>
      </c>
      <c r="G45" s="176">
        <f>+D45+E45+F45</f>
        <v>9.103449999999999E-2</v>
      </c>
      <c r="H45" s="12"/>
      <c r="I45" s="12"/>
      <c r="J45" s="12"/>
    </row>
    <row r="46" spans="1:10" ht="17.25">
      <c r="A46" s="174" t="s">
        <v>401</v>
      </c>
      <c r="B46" s="186">
        <f>+B20</f>
        <v>6.1800000000000001E-2</v>
      </c>
      <c r="C46" s="182">
        <f>+C20</f>
        <v>1.02</v>
      </c>
      <c r="D46" s="175">
        <f>+B46*C46*0.75</f>
        <v>4.7277000000000007E-2</v>
      </c>
      <c r="E46" s="186">
        <f>+B46*0.25</f>
        <v>1.545E-2</v>
      </c>
      <c r="F46" s="175">
        <f>+'Growth &amp; Inflation Rates'!$G$24</f>
        <v>4.8099999999999997E-2</v>
      </c>
      <c r="G46" s="176">
        <f>+D46+E46+F46</f>
        <v>0.11082700000000001</v>
      </c>
      <c r="H46" s="12"/>
      <c r="I46" s="12"/>
      <c r="J46" s="12"/>
    </row>
    <row r="47" spans="1:10" ht="17.25">
      <c r="A47" s="174" t="str">
        <f t="shared" ref="A47:C48" si="0">+A21</f>
        <v>Damodaran Implied ERP Ex Ante   Net Cash Yield (3)</v>
      </c>
      <c r="B47" s="186">
        <f t="shared" si="0"/>
        <v>3.9600000000000003E-2</v>
      </c>
      <c r="C47" s="182">
        <f t="shared" si="0"/>
        <v>1.02</v>
      </c>
      <c r="D47" s="175">
        <f>+B47*C47*0.75</f>
        <v>3.0294000000000001E-2</v>
      </c>
      <c r="E47" s="186">
        <f>+B47*0.25</f>
        <v>9.9000000000000008E-3</v>
      </c>
      <c r="F47" s="175">
        <f>+'Growth &amp; Inflation Rates'!$G$24</f>
        <v>4.8099999999999997E-2</v>
      </c>
      <c r="G47" s="176">
        <f>+D47+E47+F47</f>
        <v>8.8293999999999997E-2</v>
      </c>
      <c r="H47" s="12"/>
      <c r="I47" s="12"/>
      <c r="J47" s="12"/>
    </row>
    <row r="48" spans="1:10" ht="17.25">
      <c r="A48" s="174" t="str">
        <f t="shared" si="0"/>
        <v>Damodaran Implied ERP Ex Ante   Norm. Earnings &amp; Payout (3)</v>
      </c>
      <c r="B48" s="186">
        <f t="shared" si="0"/>
        <v>3.6200000000000003E-2</v>
      </c>
      <c r="C48" s="182">
        <f t="shared" si="0"/>
        <v>1.02</v>
      </c>
      <c r="D48" s="175">
        <f>+B48*C48*0.75</f>
        <v>2.7693000000000002E-2</v>
      </c>
      <c r="E48" s="186">
        <f>+B48*0.25</f>
        <v>9.0500000000000008E-3</v>
      </c>
      <c r="F48" s="175">
        <f>+'Growth &amp; Inflation Rates'!$G$24</f>
        <v>4.8099999999999997E-2</v>
      </c>
      <c r="G48" s="176">
        <f>+D48+E48+F48</f>
        <v>8.4843000000000002E-2</v>
      </c>
      <c r="H48" s="12"/>
      <c r="I48" s="12"/>
      <c r="J48" s="12"/>
    </row>
    <row r="49" spans="1:10" ht="17.25">
      <c r="A49" s="174" t="s">
        <v>0</v>
      </c>
      <c r="B49" s="186" t="s">
        <v>0</v>
      </c>
      <c r="C49" s="175" t="s">
        <v>0</v>
      </c>
      <c r="D49" s="175" t="s">
        <v>0</v>
      </c>
      <c r="E49" s="186" t="s">
        <v>0</v>
      </c>
      <c r="F49" s="175" t="s">
        <v>0</v>
      </c>
      <c r="G49" s="176" t="s">
        <v>0</v>
      </c>
      <c r="H49" s="12"/>
      <c r="I49" s="12"/>
      <c r="J49" s="12"/>
    </row>
    <row r="50" spans="1:10" ht="17.25">
      <c r="A50" s="174" t="s">
        <v>220</v>
      </c>
      <c r="B50" s="186">
        <f>+B24</f>
        <v>5.6099999999999997E-2</v>
      </c>
      <c r="C50" s="182">
        <f>+C24</f>
        <v>1.02</v>
      </c>
      <c r="D50" s="175">
        <f>+B50*C50*0.75</f>
        <v>4.2916499999999996E-2</v>
      </c>
      <c r="E50" s="186">
        <f>+B50*0.25</f>
        <v>1.4024999999999999E-2</v>
      </c>
      <c r="F50" s="175">
        <f>+'Growth &amp; Inflation Rates'!$G$24</f>
        <v>4.8099999999999997E-2</v>
      </c>
      <c r="G50" s="176">
        <f>+D50+E50+F50</f>
        <v>0.10504149999999998</v>
      </c>
    </row>
    <row r="51" spans="1:10" ht="17.25">
      <c r="A51" s="174" t="s">
        <v>0</v>
      </c>
      <c r="B51" s="186" t="s">
        <v>0</v>
      </c>
      <c r="C51" s="175" t="s">
        <v>0</v>
      </c>
      <c r="D51" s="175" t="s">
        <v>0</v>
      </c>
      <c r="E51" s="186" t="s">
        <v>0</v>
      </c>
      <c r="F51" s="175" t="s">
        <v>0</v>
      </c>
      <c r="G51" s="176" t="s">
        <v>0</v>
      </c>
    </row>
    <row r="52" spans="1:10" ht="17.25">
      <c r="A52" s="174" t="s">
        <v>400</v>
      </c>
      <c r="B52" s="186">
        <f>+B26</f>
        <v>5.5E-2</v>
      </c>
      <c r="C52" s="182">
        <f>+C26</f>
        <v>1.02</v>
      </c>
      <c r="D52" s="175">
        <f>+B52*C52*0.75</f>
        <v>4.2075000000000001E-2</v>
      </c>
      <c r="E52" s="186">
        <f>+B52*0.25</f>
        <v>1.375E-2</v>
      </c>
      <c r="F52" s="175">
        <f>+'Growth &amp; Inflation Rates'!$G$24</f>
        <v>4.8099999999999997E-2</v>
      </c>
      <c r="G52" s="176">
        <f>+D52+E52+F52</f>
        <v>0.10392499999999999</v>
      </c>
    </row>
    <row r="53" spans="1:10" ht="17.25">
      <c r="A53" s="174" t="s">
        <v>0</v>
      </c>
      <c r="B53" s="186" t="s">
        <v>0</v>
      </c>
      <c r="C53" s="175" t="s">
        <v>0</v>
      </c>
      <c r="D53" s="175" t="s">
        <v>0</v>
      </c>
      <c r="E53" s="186" t="s">
        <v>0</v>
      </c>
      <c r="F53" s="175" t="s">
        <v>0</v>
      </c>
      <c r="G53" s="176" t="s">
        <v>0</v>
      </c>
    </row>
    <row r="54" spans="1:10" ht="17.25">
      <c r="A54" s="174" t="s">
        <v>221</v>
      </c>
      <c r="B54" s="186">
        <f>+B28</f>
        <v>6.7799999999999999E-2</v>
      </c>
      <c r="C54" s="182">
        <f>+C28</f>
        <v>1.02</v>
      </c>
      <c r="D54" s="175">
        <f>+B54*C54*0.75</f>
        <v>5.1866999999999996E-2</v>
      </c>
      <c r="E54" s="186">
        <f>+B54*0.25</f>
        <v>1.695E-2</v>
      </c>
      <c r="F54" s="175">
        <f>+'Growth &amp; Inflation Rates'!$G$24</f>
        <v>4.8099999999999997E-2</v>
      </c>
      <c r="G54" s="176">
        <f>+D54+E54+F54</f>
        <v>0.11691699999999999</v>
      </c>
    </row>
    <row r="55" spans="1:10" ht="17.25">
      <c r="A55" s="174" t="s">
        <v>222</v>
      </c>
      <c r="B55" s="186">
        <f>+B29</f>
        <v>5.5399999999999998E-2</v>
      </c>
      <c r="C55" s="182">
        <f>+C29</f>
        <v>1.02</v>
      </c>
      <c r="D55" s="175">
        <f>+B55*C55*0.75</f>
        <v>4.2380999999999995E-2</v>
      </c>
      <c r="E55" s="186">
        <f>+B55*0.25</f>
        <v>1.3849999999999999E-2</v>
      </c>
      <c r="F55" s="175">
        <f>+'Growth &amp; Inflation Rates'!$G$24</f>
        <v>4.8099999999999997E-2</v>
      </c>
      <c r="G55" s="176">
        <f>+D55+E55+F55</f>
        <v>0.10433099999999999</v>
      </c>
    </row>
    <row r="56" spans="1:10" ht="17.25">
      <c r="A56" s="174"/>
      <c r="B56" s="186"/>
      <c r="C56" s="182"/>
      <c r="D56" s="175"/>
      <c r="E56" s="186"/>
      <c r="F56" s="175"/>
      <c r="G56" s="176"/>
    </row>
    <row r="57" spans="1:10" ht="17.25">
      <c r="A57" s="174" t="s">
        <v>385</v>
      </c>
      <c r="B57" s="186">
        <f t="shared" ref="B57:C59" si="1">+B31</f>
        <v>7.3700000000000002E-2</v>
      </c>
      <c r="C57" s="182">
        <f t="shared" si="1"/>
        <v>1.02</v>
      </c>
      <c r="D57" s="175">
        <f>+B57*C57*0.75</f>
        <v>5.63805E-2</v>
      </c>
      <c r="E57" s="186">
        <f>+B57*0.25</f>
        <v>1.8425E-2</v>
      </c>
      <c r="F57" s="175">
        <f>+'Growth &amp; Inflation Rates'!$G$24</f>
        <v>4.8099999999999997E-2</v>
      </c>
      <c r="G57" s="176">
        <f>+D57+E57+F57</f>
        <v>0.1229055</v>
      </c>
    </row>
    <row r="58" spans="1:10" ht="17.25">
      <c r="A58" s="174" t="s">
        <v>386</v>
      </c>
      <c r="B58" s="186">
        <f t="shared" si="1"/>
        <v>6.3100000000000003E-2</v>
      </c>
      <c r="C58" s="182">
        <f t="shared" si="1"/>
        <v>1.02</v>
      </c>
      <c r="D58" s="175">
        <f>+B58*C58*0.75</f>
        <v>4.8271500000000002E-2</v>
      </c>
      <c r="E58" s="186">
        <f>+B58*0.25</f>
        <v>1.5775000000000001E-2</v>
      </c>
      <c r="F58" s="175">
        <f>+'Growth &amp; Inflation Rates'!$G$24</f>
        <v>4.8099999999999997E-2</v>
      </c>
      <c r="G58" s="176">
        <f>+D58+E58+F58</f>
        <v>0.11214650000000001</v>
      </c>
    </row>
    <row r="59" spans="1:10" ht="17.25">
      <c r="A59" s="174" t="s">
        <v>387</v>
      </c>
      <c r="B59" s="186">
        <f t="shared" si="1"/>
        <v>0.05</v>
      </c>
      <c r="C59" s="182">
        <f t="shared" si="1"/>
        <v>1.02</v>
      </c>
      <c r="D59" s="175">
        <f>+B59*C59*0.75</f>
        <v>3.8250000000000006E-2</v>
      </c>
      <c r="E59" s="186">
        <f>+B59*0.25</f>
        <v>1.2500000000000001E-2</v>
      </c>
      <c r="F59" s="175">
        <f>+'Growth &amp; Inflation Rates'!$G$24</f>
        <v>4.8099999999999997E-2</v>
      </c>
      <c r="G59" s="176">
        <f>+D59+E59+F59</f>
        <v>9.8849999999999993E-2</v>
      </c>
    </row>
    <row r="60" spans="1:10" ht="17.25">
      <c r="A60" s="174"/>
      <c r="B60" s="186"/>
      <c r="C60" s="182"/>
      <c r="D60" s="175"/>
      <c r="E60" s="186"/>
      <c r="F60" s="175"/>
      <c r="G60" s="176"/>
    </row>
    <row r="61" spans="1:10" ht="17.25">
      <c r="A61" s="338" t="s">
        <v>0</v>
      </c>
      <c r="B61" s="339" t="s">
        <v>0</v>
      </c>
      <c r="C61" s="182" t="s">
        <v>0</v>
      </c>
      <c r="D61" s="175" t="s">
        <v>0</v>
      </c>
      <c r="E61" s="186" t="s">
        <v>0</v>
      </c>
      <c r="F61" s="175" t="s">
        <v>0</v>
      </c>
      <c r="G61" s="176" t="s">
        <v>0</v>
      </c>
    </row>
    <row r="62" spans="1:10" ht="15.75" thickBot="1">
      <c r="A62" s="311"/>
      <c r="B62" s="142"/>
      <c r="C62" s="142"/>
      <c r="D62" s="142"/>
      <c r="E62" s="142"/>
      <c r="F62" s="142"/>
      <c r="G62" s="312"/>
    </row>
    <row r="64" spans="1:10" ht="17.25">
      <c r="A64" s="62" t="s">
        <v>82</v>
      </c>
      <c r="E64" s="185" t="s">
        <v>0</v>
      </c>
    </row>
    <row r="65" spans="1:7">
      <c r="A65" s="447" t="s">
        <v>0</v>
      </c>
      <c r="E65" s="185" t="s">
        <v>0</v>
      </c>
    </row>
    <row r="66" spans="1:7" ht="16.5">
      <c r="A66" s="420" t="s">
        <v>465</v>
      </c>
      <c r="B66" s="12"/>
      <c r="C66" s="12"/>
      <c r="D66" s="12"/>
      <c r="E66" s="12"/>
      <c r="F66" s="12"/>
      <c r="G66" s="12"/>
    </row>
    <row r="67" spans="1:7" ht="16.5">
      <c r="A67" s="420" t="s">
        <v>466</v>
      </c>
      <c r="B67" s="12"/>
      <c r="C67" s="12"/>
      <c r="D67" s="12"/>
      <c r="E67" s="12"/>
      <c r="F67" s="12"/>
      <c r="G67" s="12"/>
    </row>
    <row r="68" spans="1:7" ht="16.5">
      <c r="A68" s="43" t="s">
        <v>0</v>
      </c>
      <c r="B68" s="12"/>
      <c r="C68" s="12"/>
      <c r="D68" s="12"/>
      <c r="E68" s="12"/>
      <c r="F68" s="12"/>
      <c r="G68" s="12"/>
    </row>
    <row r="69" spans="1:7" ht="16.5">
      <c r="A69" s="43" t="s">
        <v>498</v>
      </c>
      <c r="B69" s="12"/>
      <c r="C69" s="12"/>
      <c r="D69" s="12"/>
      <c r="E69" s="12"/>
      <c r="F69" s="12"/>
      <c r="G69" s="12"/>
    </row>
    <row r="70" spans="1:7" ht="16.5">
      <c r="A70" s="140" t="s">
        <v>378</v>
      </c>
      <c r="C70" s="12"/>
      <c r="D70" s="12"/>
      <c r="E70" s="12"/>
      <c r="F70" s="12"/>
      <c r="G70" s="12"/>
    </row>
    <row r="71" spans="1:7" ht="16.5">
      <c r="A71" s="43" t="s">
        <v>0</v>
      </c>
      <c r="B71" s="12"/>
      <c r="C71" s="12"/>
      <c r="D71" s="12"/>
      <c r="E71" s="12"/>
      <c r="F71" s="12"/>
      <c r="G71" s="12"/>
    </row>
    <row r="72" spans="1:7" ht="16.5">
      <c r="A72" s="43" t="s">
        <v>499</v>
      </c>
      <c r="B72" s="12"/>
      <c r="C72" s="12"/>
      <c r="D72" s="12"/>
      <c r="E72" s="12"/>
      <c r="F72" s="12"/>
      <c r="G72" s="12"/>
    </row>
    <row r="73" spans="1:7" ht="16.5">
      <c r="A73" s="140" t="s">
        <v>379</v>
      </c>
      <c r="B73" s="12"/>
      <c r="C73" s="12"/>
      <c r="D73" s="12"/>
      <c r="E73" s="12"/>
      <c r="F73" s="12"/>
      <c r="G73" s="12"/>
    </row>
    <row r="74" spans="1:7" ht="16.5">
      <c r="A74" s="43"/>
      <c r="B74" s="12"/>
      <c r="C74" s="12"/>
      <c r="D74" s="12"/>
      <c r="E74" s="12"/>
      <c r="F74" s="12"/>
      <c r="G74" s="12"/>
    </row>
    <row r="75" spans="1:7" ht="16.5">
      <c r="A75" s="43" t="s">
        <v>500</v>
      </c>
      <c r="B75" s="12"/>
      <c r="C75" s="12"/>
      <c r="D75" s="12"/>
      <c r="E75" s="12"/>
      <c r="F75" s="12"/>
      <c r="G75" s="12"/>
    </row>
    <row r="76" spans="1:7" ht="16.5">
      <c r="A76" s="140" t="s">
        <v>510</v>
      </c>
      <c r="B76" s="12"/>
      <c r="C76" s="12"/>
      <c r="D76" s="12"/>
      <c r="E76" s="12"/>
      <c r="F76" s="12"/>
      <c r="G76" s="12"/>
    </row>
    <row r="77" spans="1:7" ht="16.5">
      <c r="A77" s="43"/>
      <c r="B77" s="12"/>
      <c r="C77" s="12"/>
      <c r="D77" s="12"/>
      <c r="E77" s="12"/>
      <c r="F77" s="12"/>
      <c r="G77" s="12"/>
    </row>
    <row r="78" spans="1:7" ht="16.5">
      <c r="A78" s="43" t="s">
        <v>481</v>
      </c>
      <c r="B78" s="12"/>
      <c r="C78" s="12"/>
      <c r="D78" s="12"/>
      <c r="E78" s="12"/>
      <c r="F78" s="12"/>
      <c r="G78" s="12"/>
    </row>
    <row r="79" spans="1:7" ht="16.5">
      <c r="A79" s="140" t="s">
        <v>380</v>
      </c>
      <c r="B79" s="12"/>
      <c r="C79" s="12"/>
      <c r="D79" s="12"/>
      <c r="E79" s="12"/>
      <c r="F79" s="12"/>
      <c r="G79" s="12"/>
    </row>
    <row r="80" spans="1:7">
      <c r="A80" s="447"/>
    </row>
    <row r="81" spans="1:7" ht="16.5">
      <c r="A81" s="43" t="s">
        <v>482</v>
      </c>
    </row>
    <row r="82" spans="1:7" ht="16.5">
      <c r="A82" s="43" t="s">
        <v>0</v>
      </c>
    </row>
    <row r="83" spans="1:7" ht="16.5">
      <c r="A83" s="43" t="s">
        <v>0</v>
      </c>
    </row>
    <row r="84" spans="1:7" ht="16.5">
      <c r="A84" s="337"/>
    </row>
    <row r="85" spans="1:7" ht="21" thickBot="1">
      <c r="A85" s="143"/>
      <c r="B85" s="143"/>
      <c r="C85" s="143"/>
      <c r="D85" s="29"/>
      <c r="E85" s="36"/>
      <c r="F85" s="29"/>
      <c r="G85" s="142"/>
    </row>
  </sheetData>
  <hyperlinks>
    <hyperlink ref="A79" r:id="rId1" xr:uid="{07F659D0-D7EF-4C7E-979C-1FCBF7CF0C40}"/>
    <hyperlink ref="A70" r:id="rId2" xr:uid="{52EB04BE-2DAE-47A3-913A-6DE966A754C0}"/>
    <hyperlink ref="A73" r:id="rId3" xr:uid="{0D13A9F3-D538-4945-B76C-4AB459B8E930}"/>
    <hyperlink ref="A76" r:id="rId4" xr:uid="{FCB997AC-DD33-4353-93E2-B202F538F227}"/>
  </hyperlinks>
  <pageMargins left="0.25" right="0.25" top="0.75" bottom="0.75" header="0.3" footer="0.3"/>
  <pageSetup scale="4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7A1C-E3A7-4341-9AD5-A72E155C964A}">
  <sheetPr>
    <tabColor rgb="FF92D050"/>
  </sheetPr>
  <dimension ref="A1:R108"/>
  <sheetViews>
    <sheetView tabSelected="1" view="pageBreakPreview" topLeftCell="A46" zoomScale="50" zoomScaleNormal="80" zoomScaleSheetLayoutView="50" workbookViewId="0">
      <selection activeCell="A74" sqref="A74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4" t="s">
        <v>1</v>
      </c>
      <c r="C1" s="24"/>
      <c r="D1" s="24"/>
      <c r="E1" s="12"/>
      <c r="F1" s="12"/>
      <c r="G1" s="12"/>
      <c r="H1" s="12"/>
      <c r="I1" s="12"/>
      <c r="J1" s="12"/>
      <c r="K1" s="12"/>
    </row>
    <row r="2" spans="1:11" ht="17.25">
      <c r="A2" s="25" t="s">
        <v>9</v>
      </c>
      <c r="C2" s="25"/>
      <c r="D2" s="25"/>
      <c r="E2" s="12"/>
      <c r="F2" s="12"/>
      <c r="G2" s="12"/>
      <c r="H2" s="12"/>
      <c r="I2" s="12"/>
      <c r="J2" s="12"/>
      <c r="K2" s="12"/>
    </row>
    <row r="3" spans="1:11" ht="16.5">
      <c r="A3" s="26" t="s">
        <v>479</v>
      </c>
      <c r="C3" s="26"/>
      <c r="D3" s="26"/>
      <c r="E3" s="12"/>
      <c r="F3" s="12"/>
      <c r="G3" s="12"/>
      <c r="H3" s="12"/>
      <c r="I3" s="12"/>
      <c r="J3" s="12"/>
      <c r="K3" s="12"/>
    </row>
    <row r="4" spans="1:11" ht="16.5">
      <c r="B4" s="26"/>
      <c r="C4" s="26"/>
      <c r="D4" s="26"/>
      <c r="E4" s="12"/>
      <c r="F4" s="12"/>
      <c r="G4" s="12"/>
      <c r="H4" s="12"/>
      <c r="I4" s="12"/>
      <c r="J4" s="12"/>
      <c r="K4" s="12"/>
    </row>
    <row r="5" spans="1:11" ht="16.5">
      <c r="B5" s="12"/>
      <c r="C5" s="12"/>
      <c r="D5" s="12"/>
      <c r="E5" s="12"/>
      <c r="F5" s="12"/>
      <c r="G5" s="12"/>
      <c r="H5" s="12"/>
      <c r="I5" s="469" t="s">
        <v>0</v>
      </c>
      <c r="J5" s="27"/>
      <c r="K5" s="12"/>
    </row>
    <row r="6" spans="1:11" ht="17.25" thickBot="1">
      <c r="B6" s="12"/>
      <c r="C6" s="12"/>
      <c r="D6" s="29"/>
      <c r="E6" s="29"/>
      <c r="F6" s="142"/>
      <c r="H6" s="12"/>
      <c r="I6" s="12"/>
      <c r="J6" s="12"/>
    </row>
    <row r="7" spans="1:11" ht="27" thickBot="1">
      <c r="A7" s="28" t="str">
        <f>+'S&amp;D'!A12</f>
        <v>Electric Wholesale (non-regulated) Power Generator</v>
      </c>
      <c r="C7" s="30"/>
      <c r="D7" s="30"/>
      <c r="E7" s="31" t="s">
        <v>247</v>
      </c>
      <c r="H7" s="12"/>
      <c r="I7" s="12"/>
      <c r="J7" s="12"/>
    </row>
    <row r="8" spans="1:11" ht="21" thickBot="1">
      <c r="B8" s="30"/>
      <c r="C8" s="30"/>
      <c r="D8" s="143"/>
      <c r="E8" s="36" t="s">
        <v>492</v>
      </c>
      <c r="F8" s="142"/>
      <c r="H8" s="12"/>
      <c r="I8" s="12"/>
    </row>
    <row r="9" spans="1:11" ht="20.25">
      <c r="B9" s="30"/>
      <c r="C9" s="30"/>
      <c r="D9" s="30"/>
      <c r="E9" s="34"/>
      <c r="H9" s="12"/>
      <c r="I9" s="12"/>
    </row>
    <row r="10" spans="1:11" ht="29.1" customHeight="1" thickBot="1">
      <c r="A10" s="143"/>
      <c r="B10" s="30"/>
      <c r="I10" s="12"/>
    </row>
    <row r="11" spans="1:11" ht="22.5" customHeight="1" thickBot="1">
      <c r="A11" s="155" t="s">
        <v>246</v>
      </c>
      <c r="B11" s="30"/>
      <c r="I11" s="12"/>
    </row>
    <row r="12" spans="1:11" ht="20.100000000000001" customHeight="1" thickBot="1">
      <c r="A12" s="154" t="s">
        <v>0</v>
      </c>
      <c r="B12" s="12"/>
      <c r="C12" s="12"/>
      <c r="D12" s="12"/>
      <c r="E12" s="12"/>
      <c r="F12" s="12"/>
      <c r="G12" s="12"/>
      <c r="H12" s="12"/>
      <c r="I12" s="12"/>
    </row>
    <row r="13" spans="1:11" ht="60.6" customHeight="1" thickBot="1">
      <c r="A13" s="197" t="s">
        <v>0</v>
      </c>
      <c r="B13" s="149" t="s">
        <v>295</v>
      </c>
      <c r="C13" s="149" t="s">
        <v>294</v>
      </c>
      <c r="D13" s="148" t="s">
        <v>228</v>
      </c>
      <c r="E13" s="149" t="s">
        <v>229</v>
      </c>
      <c r="F13" s="149" t="s">
        <v>264</v>
      </c>
      <c r="G13" s="149" t="s">
        <v>263</v>
      </c>
      <c r="H13" s="149" t="s">
        <v>230</v>
      </c>
    </row>
    <row r="14" spans="1:11" ht="16.5">
      <c r="A14" s="144"/>
      <c r="B14" s="191"/>
      <c r="C14" s="191"/>
      <c r="D14" s="112"/>
      <c r="E14" s="191"/>
      <c r="F14" s="191"/>
      <c r="G14" s="191"/>
      <c r="H14" s="191"/>
    </row>
    <row r="15" spans="1:11" ht="20.25">
      <c r="A15" s="152" t="str">
        <f>+A7</f>
        <v>Electric Wholesale (non-regulated) Power Generator</v>
      </c>
      <c r="B15" s="209"/>
      <c r="C15" s="209"/>
      <c r="D15" s="377"/>
      <c r="E15" s="209"/>
      <c r="F15" s="209">
        <f>+'Dividends '!K26</f>
        <v>8.2171765192756166E-2</v>
      </c>
      <c r="G15" s="209">
        <f>+Earnings!K26</f>
        <v>8.4768180345845309E-2</v>
      </c>
      <c r="H15" s="209"/>
    </row>
    <row r="16" spans="1:11" ht="21" thickBot="1">
      <c r="A16" s="146" t="s">
        <v>0</v>
      </c>
      <c r="B16" s="192" t="s">
        <v>0</v>
      </c>
      <c r="C16" s="192"/>
      <c r="D16" s="153"/>
      <c r="E16" s="192"/>
      <c r="F16" s="234">
        <f>+'Dividends '!K27</f>
        <v>6.9303644828169531E-2</v>
      </c>
      <c r="G16" s="234">
        <f>+Earnings!K27</f>
        <v>9.7303430513141984E-2</v>
      </c>
      <c r="H16" s="192"/>
    </row>
    <row r="17" spans="1:18" ht="57.95" customHeight="1" thickBot="1">
      <c r="A17" s="12"/>
      <c r="B17" s="12"/>
      <c r="C17" s="12"/>
      <c r="D17" s="12"/>
      <c r="E17" s="12"/>
      <c r="F17" s="12"/>
      <c r="G17" s="12"/>
      <c r="H17" s="12"/>
      <c r="I17" s="12"/>
    </row>
    <row r="18" spans="1:18" ht="24.95" customHeight="1" thickBot="1">
      <c r="A18" s="155" t="s">
        <v>467</v>
      </c>
      <c r="B18" s="12"/>
      <c r="C18" s="12"/>
      <c r="D18" s="402"/>
      <c r="E18" s="12"/>
      <c r="F18" s="12"/>
      <c r="G18" s="12"/>
      <c r="H18" s="12"/>
      <c r="I18" s="12"/>
    </row>
    <row r="19" spans="1:18" ht="20.100000000000001" customHeight="1">
      <c r="A19" s="12"/>
      <c r="B19" s="12"/>
      <c r="C19" s="12"/>
      <c r="D19" s="421" t="s">
        <v>467</v>
      </c>
      <c r="E19" s="12"/>
      <c r="F19" s="12"/>
      <c r="G19" s="12"/>
      <c r="H19" s="12"/>
      <c r="I19" s="12"/>
    </row>
    <row r="20" spans="1:18" ht="27.95" customHeight="1">
      <c r="A20" s="422"/>
      <c r="B20" s="396"/>
      <c r="C20" s="423" t="s">
        <v>483</v>
      </c>
      <c r="D20" s="424"/>
      <c r="E20" s="12"/>
      <c r="F20" s="12"/>
      <c r="G20" s="12"/>
      <c r="H20" s="12"/>
      <c r="I20" s="12"/>
    </row>
    <row r="21" spans="1:18" ht="27.95" customHeight="1">
      <c r="A21" s="425"/>
      <c r="C21" s="426" t="s">
        <v>468</v>
      </c>
      <c r="D21" s="427">
        <v>4.19E-2</v>
      </c>
      <c r="E21" s="12"/>
      <c r="F21" s="12"/>
      <c r="G21" s="12"/>
      <c r="H21" s="12"/>
      <c r="I21" s="12"/>
    </row>
    <row r="22" spans="1:18" ht="27" customHeight="1">
      <c r="A22" s="425"/>
      <c r="C22" s="426" t="s">
        <v>469</v>
      </c>
      <c r="D22" s="427">
        <v>4.8099999999999997E-2</v>
      </c>
      <c r="E22" s="12"/>
      <c r="F22" s="12"/>
      <c r="G22" s="12"/>
      <c r="H22" s="12"/>
      <c r="I22" s="12"/>
    </row>
    <row r="23" spans="1:18" ht="27" customHeight="1" thickBot="1">
      <c r="A23" s="425"/>
      <c r="C23" s="426" t="s">
        <v>470</v>
      </c>
      <c r="D23" s="427">
        <v>4.8599999999999997E-2</v>
      </c>
      <c r="E23" s="12"/>
      <c r="F23" s="12"/>
      <c r="G23" s="428" t="s">
        <v>471</v>
      </c>
      <c r="I23" s="12"/>
    </row>
    <row r="24" spans="1:18" ht="27" customHeight="1" thickBot="1">
      <c r="A24" s="425"/>
      <c r="B24" s="12"/>
      <c r="C24" s="429" t="s">
        <v>484</v>
      </c>
      <c r="D24" s="430"/>
      <c r="E24" s="12"/>
      <c r="F24" s="12"/>
      <c r="G24" s="431">
        <v>4.8099999999999997E-2</v>
      </c>
      <c r="H24" s="12"/>
      <c r="I24" s="12"/>
    </row>
    <row r="25" spans="1:18" ht="27" customHeight="1">
      <c r="A25" s="425"/>
      <c r="C25" s="426" t="s">
        <v>468</v>
      </c>
      <c r="D25" s="427">
        <v>4.1200000000000001E-2</v>
      </c>
      <c r="E25" s="12"/>
      <c r="F25" s="12"/>
      <c r="G25" s="12"/>
      <c r="H25" s="12"/>
      <c r="I25" s="12"/>
    </row>
    <row r="26" spans="1:18" ht="27" customHeight="1">
      <c r="A26" s="425"/>
      <c r="C26" s="426" t="s">
        <v>472</v>
      </c>
      <c r="D26" s="427">
        <v>0</v>
      </c>
      <c r="E26" s="12"/>
      <c r="F26" s="12"/>
      <c r="G26" s="12"/>
      <c r="H26" s="12"/>
      <c r="I26" s="12"/>
    </row>
    <row r="27" spans="1:18" ht="27" customHeight="1">
      <c r="A27" s="425"/>
      <c r="C27" s="426" t="s">
        <v>473</v>
      </c>
      <c r="D27" s="427">
        <v>4.8300000000000003E-2</v>
      </c>
      <c r="E27" s="12"/>
      <c r="F27" s="12"/>
      <c r="G27" s="12"/>
      <c r="H27" s="12"/>
      <c r="I27" s="12"/>
    </row>
    <row r="28" spans="1:18" ht="27" customHeight="1">
      <c r="A28" s="425"/>
      <c r="C28" s="432" t="s">
        <v>485</v>
      </c>
      <c r="D28" s="433">
        <v>4.1799999999999997E-2</v>
      </c>
      <c r="E28" s="12"/>
      <c r="F28" s="12"/>
      <c r="G28" s="12"/>
      <c r="H28" s="12"/>
      <c r="I28" s="12"/>
    </row>
    <row r="29" spans="1:18" ht="20.25">
      <c r="A29" s="434"/>
      <c r="B29" s="217"/>
      <c r="C29" s="435" t="s">
        <v>486</v>
      </c>
      <c r="D29" s="436">
        <v>4.7899999999999998E-2</v>
      </c>
      <c r="L29" s="12"/>
    </row>
    <row r="30" spans="1:18" ht="63.6" customHeight="1" thickBot="1">
      <c r="B30" s="12"/>
      <c r="C30" s="12"/>
      <c r="D30" s="29"/>
      <c r="E30" s="29"/>
      <c r="F30" s="29"/>
      <c r="G30" s="12"/>
      <c r="H30" s="12"/>
      <c r="I30" s="12"/>
      <c r="L30" s="12"/>
    </row>
    <row r="31" spans="1:18" ht="26.25">
      <c r="B31" s="30"/>
      <c r="C31" s="30"/>
      <c r="D31" s="12"/>
      <c r="E31" s="31" t="s">
        <v>213</v>
      </c>
      <c r="F31" s="12"/>
      <c r="G31" s="12"/>
      <c r="H31" s="12"/>
      <c r="I31" s="12"/>
      <c r="J31" s="437" t="s">
        <v>0</v>
      </c>
      <c r="K31" s="85"/>
      <c r="L31" s="85"/>
      <c r="M31" s="85"/>
      <c r="N31" s="85"/>
      <c r="O31" s="12"/>
      <c r="P31" s="12"/>
      <c r="Q31" s="12"/>
      <c r="R31" s="12"/>
    </row>
    <row r="32" spans="1:18" ht="21" thickBot="1">
      <c r="A32" s="142"/>
      <c r="B32" s="30"/>
      <c r="C32" s="30"/>
      <c r="D32" s="29"/>
      <c r="E32" s="36" t="s">
        <v>492</v>
      </c>
      <c r="F32" s="29"/>
      <c r="G32" s="12"/>
      <c r="H32" s="12"/>
      <c r="I32" s="12"/>
      <c r="J32" s="438"/>
      <c r="K32" s="439"/>
      <c r="L32" s="439"/>
      <c r="M32" s="85"/>
      <c r="N32" s="85"/>
      <c r="O32" s="12"/>
      <c r="P32" s="12"/>
      <c r="Q32" s="12"/>
      <c r="R32" s="12"/>
    </row>
    <row r="33" spans="1:18" ht="21" thickBot="1">
      <c r="A33" s="141" t="s">
        <v>441</v>
      </c>
      <c r="B33" s="30"/>
      <c r="C33" s="30"/>
      <c r="D33" s="34"/>
      <c r="E33" s="139"/>
      <c r="F33" s="12"/>
      <c r="G33" s="12"/>
      <c r="H33" s="12"/>
      <c r="I33" s="12"/>
      <c r="J33" s="438"/>
      <c r="K33" s="438"/>
      <c r="L33" s="438"/>
      <c r="M33" s="439"/>
      <c r="N33" s="470" t="s">
        <v>0</v>
      </c>
      <c r="O33" s="12"/>
      <c r="P33" s="12"/>
      <c r="Q33" s="12"/>
      <c r="R33" s="12"/>
    </row>
    <row r="34" spans="1:18" ht="18.75">
      <c r="A34" s="40" t="s">
        <v>0</v>
      </c>
      <c r="B34" s="40"/>
      <c r="C34" s="40"/>
      <c r="D34" s="40" t="s">
        <v>0</v>
      </c>
      <c r="E34" s="40" t="s">
        <v>0</v>
      </c>
      <c r="F34" s="40" t="s">
        <v>0</v>
      </c>
      <c r="G34" s="40"/>
      <c r="H34" s="12"/>
      <c r="I34" s="12"/>
      <c r="J34" s="438"/>
      <c r="K34" s="440"/>
      <c r="L34" s="438"/>
      <c r="M34" s="439"/>
      <c r="N34" s="85"/>
      <c r="O34" s="12"/>
      <c r="P34" s="12"/>
      <c r="Q34" s="12"/>
      <c r="R34" s="12"/>
    </row>
    <row r="35" spans="1:18" ht="20.25">
      <c r="A35" s="34" t="s">
        <v>0</v>
      </c>
      <c r="B35" s="34"/>
      <c r="C35" s="34"/>
      <c r="D35" s="379" t="s">
        <v>88</v>
      </c>
      <c r="E35" s="379" t="s">
        <v>248</v>
      </c>
      <c r="F35" s="379" t="s">
        <v>132</v>
      </c>
      <c r="G35" s="231"/>
      <c r="H35" s="12"/>
      <c r="I35" s="12"/>
      <c r="J35" s="438"/>
      <c r="K35" s="438"/>
      <c r="L35" s="438"/>
      <c r="M35" s="439"/>
      <c r="N35" s="85"/>
      <c r="O35" s="12"/>
      <c r="P35" s="12"/>
      <c r="Q35" s="12"/>
      <c r="R35" s="12"/>
    </row>
    <row r="36" spans="1:18" ht="20.25">
      <c r="A36" s="450" t="s">
        <v>130</v>
      </c>
      <c r="B36" s="451"/>
      <c r="C36" s="452"/>
      <c r="D36" s="380" t="s">
        <v>90</v>
      </c>
      <c r="E36" s="380" t="s">
        <v>131</v>
      </c>
      <c r="F36" s="380" t="s">
        <v>133</v>
      </c>
      <c r="G36" s="231"/>
      <c r="H36" s="12"/>
      <c r="I36" s="12"/>
      <c r="J36" s="439"/>
      <c r="K36" s="439"/>
      <c r="L36" s="441"/>
      <c r="M36" s="439"/>
      <c r="N36" s="85"/>
      <c r="O36" s="12"/>
      <c r="P36" s="12"/>
      <c r="Q36" s="12"/>
      <c r="R36" s="12"/>
    </row>
    <row r="37" spans="1:18" ht="18.75">
      <c r="H37" s="378"/>
      <c r="J37" s="439"/>
      <c r="K37" s="439"/>
      <c r="L37" s="85"/>
      <c r="M37" s="85"/>
      <c r="N37" s="85"/>
      <c r="O37" s="12"/>
      <c r="P37" s="12"/>
      <c r="Q37" s="12"/>
      <c r="R37" s="12"/>
    </row>
    <row r="38" spans="1:18" ht="20.25">
      <c r="A38" s="381" t="s">
        <v>249</v>
      </c>
      <c r="B38" s="156"/>
      <c r="C38" s="187"/>
      <c r="D38" s="382">
        <v>2.2499999999999999E-2</v>
      </c>
      <c r="E38" s="383" t="s">
        <v>436</v>
      </c>
      <c r="F38" s="383" t="s">
        <v>436</v>
      </c>
      <c r="H38" s="378" t="s">
        <v>0</v>
      </c>
      <c r="J38" s="442"/>
      <c r="K38" s="439"/>
      <c r="L38" s="439"/>
      <c r="M38" s="85"/>
      <c r="N38" s="85"/>
      <c r="O38" s="12"/>
      <c r="P38" s="12"/>
      <c r="Q38" s="12"/>
      <c r="R38" s="12"/>
    </row>
    <row r="39" spans="1:18" ht="20.25">
      <c r="A39" s="384" t="s">
        <v>250</v>
      </c>
      <c r="B39" s="62"/>
      <c r="C39" s="188"/>
      <c r="D39" s="385">
        <v>2.4199999999999999E-2</v>
      </c>
      <c r="E39" s="386" t="s">
        <v>436</v>
      </c>
      <c r="F39" s="386" t="s">
        <v>436</v>
      </c>
      <c r="H39" s="30" t="s">
        <v>0</v>
      </c>
      <c r="I39" s="12"/>
      <c r="J39" s="442"/>
      <c r="K39" s="439"/>
      <c r="L39" s="439"/>
      <c r="M39" s="85"/>
      <c r="N39" s="85"/>
      <c r="O39" s="12"/>
      <c r="P39" s="12"/>
      <c r="Q39" s="12"/>
      <c r="R39" s="12"/>
    </row>
    <row r="40" spans="1:18" ht="20.25">
      <c r="A40" s="387" t="s">
        <v>251</v>
      </c>
      <c r="B40" s="158"/>
      <c r="C40" s="189"/>
      <c r="D40" s="388">
        <v>2.23E-2</v>
      </c>
      <c r="E40" s="389" t="s">
        <v>436</v>
      </c>
      <c r="F40" s="389" t="s">
        <v>436</v>
      </c>
      <c r="H40" s="123" t="s">
        <v>0</v>
      </c>
      <c r="I40" s="12"/>
      <c r="J40" s="442"/>
      <c r="K40" s="439"/>
      <c r="L40" s="439"/>
      <c r="M40" s="85"/>
      <c r="N40" s="85"/>
      <c r="O40" s="12"/>
      <c r="P40" s="12"/>
      <c r="Q40" s="12"/>
      <c r="R40" s="12"/>
    </row>
    <row r="41" spans="1:18" ht="20.25">
      <c r="A41" s="384" t="s">
        <v>252</v>
      </c>
      <c r="B41" s="62"/>
      <c r="C41" s="188"/>
      <c r="D41" s="390">
        <v>2.29E-2</v>
      </c>
      <c r="E41" s="390">
        <v>2.01E-2</v>
      </c>
      <c r="F41" s="385">
        <f t="shared" ref="F41:F49" si="0">+D41+E41</f>
        <v>4.2999999999999997E-2</v>
      </c>
      <c r="H41" s="12" t="s">
        <v>0</v>
      </c>
      <c r="I41" s="12"/>
      <c r="J41" s="442"/>
      <c r="K41" s="439"/>
      <c r="L41" s="439"/>
      <c r="M41" s="85"/>
      <c r="N41" s="85"/>
      <c r="O41" s="12"/>
      <c r="P41" s="12"/>
      <c r="Q41" s="12"/>
      <c r="R41" s="12"/>
    </row>
    <row r="42" spans="1:18" ht="20.25">
      <c r="A42" s="384" t="s">
        <v>442</v>
      </c>
      <c r="B42" s="62"/>
      <c r="C42" s="188"/>
      <c r="D42" s="390">
        <v>2.4E-2</v>
      </c>
      <c r="E42" s="390">
        <v>0.02</v>
      </c>
      <c r="F42" s="385">
        <f t="shared" si="0"/>
        <v>4.3999999999999997E-2</v>
      </c>
      <c r="H42" s="12"/>
      <c r="I42" s="12"/>
      <c r="J42" s="442"/>
      <c r="K42" s="439"/>
      <c r="L42" s="85"/>
      <c r="M42" s="85"/>
      <c r="N42" s="85"/>
      <c r="O42" s="12"/>
      <c r="P42" s="12"/>
      <c r="Q42" s="12"/>
      <c r="R42" s="12"/>
    </row>
    <row r="43" spans="1:18" ht="20.25">
      <c r="A43" s="387" t="s">
        <v>443</v>
      </c>
      <c r="B43" s="158"/>
      <c r="C43" s="189"/>
      <c r="D43" s="391">
        <v>2.3400000000000001E-2</v>
      </c>
      <c r="E43" s="391">
        <v>2.1000000000000001E-2</v>
      </c>
      <c r="F43" s="388">
        <f t="shared" si="0"/>
        <v>4.4400000000000002E-2</v>
      </c>
      <c r="H43" s="12"/>
      <c r="I43" s="12"/>
      <c r="J43" s="442"/>
      <c r="K43" s="439"/>
      <c r="L43" s="85"/>
      <c r="M43" s="85"/>
      <c r="N43" s="85"/>
      <c r="O43" s="12"/>
      <c r="P43" s="12"/>
      <c r="Q43" s="12"/>
      <c r="R43" s="12"/>
    </row>
    <row r="44" spans="1:18" ht="20.25">
      <c r="A44" s="384" t="s">
        <v>444</v>
      </c>
      <c r="B44" s="62"/>
      <c r="C44" s="188"/>
      <c r="D44" s="385">
        <v>2.3E-2</v>
      </c>
      <c r="E44" s="390">
        <v>1.7999999999999999E-2</v>
      </c>
      <c r="F44" s="385">
        <f t="shared" si="0"/>
        <v>4.0999999999999995E-2</v>
      </c>
      <c r="H44" s="121" t="s">
        <v>0</v>
      </c>
      <c r="I44" s="12"/>
      <c r="J44" s="442"/>
      <c r="K44" s="439"/>
      <c r="L44" s="85"/>
      <c r="M44" s="85"/>
      <c r="N44" s="85"/>
      <c r="O44" s="12"/>
      <c r="P44" s="12"/>
      <c r="Q44" s="12"/>
      <c r="R44" s="12"/>
    </row>
    <row r="45" spans="1:18" ht="20.25">
      <c r="A45" s="384" t="s">
        <v>445</v>
      </c>
      <c r="B45" s="62"/>
      <c r="C45" s="188"/>
      <c r="D45" s="385">
        <v>2.3E-2</v>
      </c>
      <c r="E45" s="390">
        <v>2.1000000000000001E-2</v>
      </c>
      <c r="F45" s="385">
        <f t="shared" si="0"/>
        <v>4.3999999999999997E-2</v>
      </c>
      <c r="H45" s="121" t="s">
        <v>0</v>
      </c>
      <c r="I45" s="12"/>
      <c r="J45" s="442"/>
      <c r="K45" s="439"/>
      <c r="L45" s="85"/>
      <c r="M45" s="85"/>
      <c r="N45" s="85"/>
      <c r="O45" s="12"/>
      <c r="P45" s="12"/>
      <c r="Q45" s="12"/>
      <c r="R45" s="12"/>
    </row>
    <row r="46" spans="1:18" ht="20.25">
      <c r="A46" s="387" t="s">
        <v>446</v>
      </c>
      <c r="B46" s="158"/>
      <c r="C46" s="189"/>
      <c r="D46" s="388">
        <v>2.3E-2</v>
      </c>
      <c r="E46" s="391">
        <v>1.9E-2</v>
      </c>
      <c r="F46" s="388">
        <f t="shared" si="0"/>
        <v>4.1999999999999996E-2</v>
      </c>
      <c r="H46" s="12"/>
      <c r="I46" s="12"/>
      <c r="J46" s="442"/>
      <c r="K46" s="439"/>
      <c r="L46" s="85"/>
      <c r="M46" s="85"/>
      <c r="N46" s="85"/>
      <c r="O46" s="12"/>
      <c r="P46" s="12"/>
      <c r="Q46" s="12"/>
      <c r="R46" s="12"/>
    </row>
    <row r="47" spans="1:18" ht="20.25">
      <c r="A47" s="384" t="s">
        <v>447</v>
      </c>
      <c r="B47" s="62"/>
      <c r="C47" s="188"/>
      <c r="D47" s="385">
        <v>2.3E-2</v>
      </c>
      <c r="E47" s="390">
        <v>2.1000000000000001E-2</v>
      </c>
      <c r="F47" s="385">
        <f t="shared" si="0"/>
        <v>4.3999999999999997E-2</v>
      </c>
      <c r="H47" s="12"/>
      <c r="I47" s="12"/>
      <c r="J47" s="442"/>
      <c r="K47" s="439"/>
      <c r="L47" s="85"/>
      <c r="M47" s="85"/>
      <c r="N47" s="85"/>
      <c r="O47" s="12"/>
      <c r="P47" s="12"/>
      <c r="Q47" s="12"/>
      <c r="R47" s="12"/>
    </row>
    <row r="48" spans="1:18" ht="20.25">
      <c r="A48" s="384" t="s">
        <v>448</v>
      </c>
      <c r="B48" s="62"/>
      <c r="C48" s="188"/>
      <c r="D48" s="386" t="s">
        <v>436</v>
      </c>
      <c r="E48" s="390">
        <v>2.1999999999999999E-2</v>
      </c>
      <c r="F48" s="386" t="s">
        <v>436</v>
      </c>
      <c r="H48" s="12"/>
      <c r="I48" s="12"/>
      <c r="J48" s="442"/>
      <c r="K48" s="439"/>
      <c r="L48" s="85"/>
      <c r="M48" s="85"/>
      <c r="N48" s="85"/>
      <c r="O48" s="12"/>
      <c r="P48" s="12"/>
      <c r="Q48" s="12"/>
      <c r="R48" s="12"/>
    </row>
    <row r="49" spans="1:18" ht="20.25">
      <c r="A49" s="387" t="s">
        <v>449</v>
      </c>
      <c r="B49" s="158"/>
      <c r="C49" s="189"/>
      <c r="D49" s="388">
        <v>0.02</v>
      </c>
      <c r="E49" s="388">
        <v>1.7999999999999999E-2</v>
      </c>
      <c r="F49" s="388">
        <f t="shared" si="0"/>
        <v>3.7999999999999999E-2</v>
      </c>
      <c r="H49" s="12"/>
      <c r="I49" s="12"/>
      <c r="J49" s="442"/>
      <c r="K49" s="443"/>
      <c r="L49" s="85"/>
      <c r="M49" s="85"/>
      <c r="N49" s="85"/>
      <c r="O49" s="12"/>
      <c r="P49" s="12"/>
      <c r="Q49" s="12"/>
      <c r="R49" s="12"/>
    </row>
    <row r="50" spans="1:18" ht="20.25">
      <c r="A50" s="108"/>
      <c r="B50" s="116"/>
      <c r="C50" s="116" t="s">
        <v>51</v>
      </c>
      <c r="D50" s="392">
        <f>MAX(D38:D49)</f>
        <v>2.4199999999999999E-2</v>
      </c>
      <c r="E50" s="392">
        <f>MAX(E38:E49)</f>
        <v>2.1999999999999999E-2</v>
      </c>
      <c r="F50" s="392">
        <f>MAX(F38:F49)</f>
        <v>4.4400000000000002E-2</v>
      </c>
      <c r="G50" s="232"/>
      <c r="H50" s="12"/>
      <c r="I50" s="12"/>
      <c r="L50" s="12"/>
      <c r="M50" s="12"/>
      <c r="N50" s="12"/>
      <c r="Q50" s="12"/>
      <c r="R50" s="12"/>
    </row>
    <row r="51" spans="1:18" ht="18.75" customHeight="1">
      <c r="A51" s="108"/>
      <c r="B51" s="116"/>
      <c r="C51" s="116" t="s">
        <v>52</v>
      </c>
      <c r="D51" s="392">
        <f>MIN(D38:D49)</f>
        <v>0.02</v>
      </c>
      <c r="E51" s="392">
        <f>MIN(E38:E49)</f>
        <v>1.7999999999999999E-2</v>
      </c>
      <c r="F51" s="393">
        <f>MIN(F38:F49)</f>
        <v>3.7999999999999999E-2</v>
      </c>
      <c r="G51" s="233"/>
      <c r="H51" s="12"/>
      <c r="I51" s="12"/>
      <c r="L51" s="12"/>
      <c r="M51" s="12"/>
      <c r="N51" s="12"/>
      <c r="O51" s="12"/>
      <c r="R51" s="12"/>
    </row>
    <row r="52" spans="1:18" ht="20.25">
      <c r="A52" s="108"/>
      <c r="B52" s="116"/>
      <c r="C52" s="116" t="s">
        <v>18</v>
      </c>
      <c r="D52" s="394">
        <f>MEDIAN(D38:D49)</f>
        <v>2.3E-2</v>
      </c>
      <c r="E52" s="394">
        <f>MEDIAN(E38:E49)</f>
        <v>2.01E-2</v>
      </c>
      <c r="F52" s="385">
        <f t="shared" ref="F52:F53" si="1">+D52+E52</f>
        <v>4.3099999999999999E-2</v>
      </c>
      <c r="G52" s="233"/>
      <c r="H52" s="12"/>
      <c r="I52" s="12"/>
      <c r="L52" s="12"/>
      <c r="M52" s="12"/>
      <c r="N52" s="12"/>
      <c r="O52" s="12"/>
      <c r="R52" s="12"/>
    </row>
    <row r="53" spans="1:18" ht="20.25">
      <c r="A53" s="108"/>
      <c r="B53" s="116"/>
      <c r="C53" s="116" t="s">
        <v>19</v>
      </c>
      <c r="D53" s="391">
        <f>AVERAGE(D38:D49)</f>
        <v>2.2845454545454544E-2</v>
      </c>
      <c r="E53" s="391">
        <f>AVERAGE(E38:E49)</f>
        <v>2.0011111111111108E-2</v>
      </c>
      <c r="F53" s="388">
        <f t="shared" si="1"/>
        <v>4.2856565656565648E-2</v>
      </c>
      <c r="G53" s="232"/>
      <c r="H53" s="12"/>
      <c r="I53" s="12"/>
      <c r="L53" s="12"/>
      <c r="M53" s="12"/>
      <c r="N53" s="12"/>
      <c r="O53" s="12"/>
      <c r="R53" s="12"/>
    </row>
    <row r="54" spans="1:18" ht="18.75">
      <c r="A54" s="12"/>
      <c r="B54" s="14"/>
      <c r="D54" s="201"/>
      <c r="E54" s="201"/>
      <c r="F54" s="201"/>
      <c r="G54" s="232"/>
      <c r="H54" s="12"/>
      <c r="I54" s="12"/>
      <c r="L54" s="12"/>
      <c r="M54" s="12"/>
      <c r="N54" s="12"/>
      <c r="O54" s="12"/>
    </row>
    <row r="55" spans="1:18" ht="16.5" customHeight="1" thickBot="1">
      <c r="A55" s="12"/>
      <c r="B55" s="14"/>
      <c r="D55" s="201"/>
      <c r="E55" s="201"/>
      <c r="F55" s="201"/>
      <c r="L55" s="12"/>
      <c r="M55" s="12"/>
      <c r="N55" s="12"/>
      <c r="O55" s="12"/>
    </row>
    <row r="56" spans="1:18" ht="27" thickBot="1">
      <c r="A56" s="12"/>
      <c r="B56" s="123"/>
      <c r="C56" s="48" t="s">
        <v>214</v>
      </c>
      <c r="D56" s="431">
        <v>2.2800000000000001E-2</v>
      </c>
      <c r="E56" s="431">
        <v>0.02</v>
      </c>
      <c r="F56" s="444">
        <v>4.2900000000000001E-2</v>
      </c>
      <c r="L56" s="12"/>
      <c r="M56" s="12"/>
      <c r="N56" s="12"/>
      <c r="O56" s="12"/>
    </row>
    <row r="57" spans="1:18" ht="16.5" customHeight="1">
      <c r="L57" s="12"/>
      <c r="N57" s="12"/>
    </row>
    <row r="58" spans="1:18" ht="16.5">
      <c r="A58" s="12"/>
      <c r="B58" s="12"/>
      <c r="C58" s="12"/>
      <c r="D58" s="12"/>
      <c r="E58" s="12"/>
      <c r="F58" s="12"/>
      <c r="G58" s="12"/>
      <c r="I58" s="12"/>
      <c r="L58" s="12"/>
      <c r="N58" s="12"/>
    </row>
    <row r="59" spans="1:18" ht="19.5" customHeight="1">
      <c r="A59" s="395" t="s">
        <v>450</v>
      </c>
      <c r="B59" s="396"/>
      <c r="C59" s="397"/>
      <c r="D59" s="12"/>
      <c r="E59" s="12"/>
      <c r="F59" s="12"/>
      <c r="I59" s="12"/>
      <c r="L59" s="12"/>
      <c r="M59" s="12"/>
      <c r="N59" s="12"/>
    </row>
    <row r="60" spans="1:18" ht="19.5" customHeight="1">
      <c r="A60" s="395" t="s">
        <v>501</v>
      </c>
      <c r="B60" s="396"/>
      <c r="C60" s="396"/>
      <c r="D60" s="396"/>
      <c r="E60" s="396"/>
      <c r="F60" s="396"/>
      <c r="G60" s="398"/>
      <c r="I60" s="12"/>
      <c r="L60" s="12"/>
      <c r="M60" s="12"/>
      <c r="N60" s="12"/>
    </row>
    <row r="61" spans="1:18" ht="19.5" customHeight="1">
      <c r="A61" s="399" t="s">
        <v>502</v>
      </c>
      <c r="B61" s="12"/>
      <c r="C61" s="12"/>
      <c r="D61" s="12"/>
      <c r="E61" s="12"/>
      <c r="F61" s="12"/>
      <c r="G61" s="400"/>
      <c r="I61" s="12"/>
      <c r="L61" s="12"/>
      <c r="M61" s="12"/>
      <c r="N61" s="12"/>
      <c r="O61" s="445"/>
    </row>
    <row r="62" spans="1:18" ht="19.5" customHeight="1">
      <c r="A62" s="399" t="s">
        <v>503</v>
      </c>
      <c r="B62" s="12"/>
      <c r="C62" s="12"/>
      <c r="D62" s="12"/>
      <c r="E62" s="12"/>
      <c r="F62" s="12"/>
      <c r="G62" s="400"/>
      <c r="I62" s="12"/>
      <c r="L62" s="12"/>
      <c r="M62" s="12"/>
      <c r="N62" s="12"/>
      <c r="O62" s="445"/>
      <c r="P62" s="85"/>
      <c r="Q62" s="12"/>
      <c r="R62" s="12"/>
    </row>
    <row r="63" spans="1:18" ht="19.5" customHeight="1">
      <c r="A63" s="401" t="s">
        <v>504</v>
      </c>
      <c r="B63" s="402"/>
      <c r="C63" s="402"/>
      <c r="D63" s="402"/>
      <c r="E63" s="402"/>
      <c r="F63" s="402"/>
      <c r="G63" s="403"/>
      <c r="I63" s="12"/>
      <c r="L63" s="12"/>
      <c r="M63" s="12"/>
      <c r="N63" s="12"/>
      <c r="O63" s="445"/>
      <c r="P63" s="85"/>
      <c r="Q63" s="12"/>
      <c r="R63" s="12"/>
    </row>
    <row r="64" spans="1:18" ht="17.25">
      <c r="A64" s="108"/>
      <c r="B64" s="12"/>
      <c r="C64" s="12"/>
      <c r="D64" s="12"/>
      <c r="E64" s="12"/>
      <c r="F64" s="12"/>
      <c r="I64" s="12"/>
      <c r="L64" s="12"/>
      <c r="M64" s="12"/>
      <c r="N64" s="12"/>
      <c r="O64" s="12"/>
      <c r="P64" s="12"/>
      <c r="Q64" s="12"/>
      <c r="R64" s="12"/>
    </row>
    <row r="65" spans="1:18" ht="15.6" customHeight="1">
      <c r="A65" s="404" t="s">
        <v>253</v>
      </c>
      <c r="B65" s="405"/>
      <c r="C65" s="396"/>
      <c r="D65" s="396"/>
      <c r="E65" s="396"/>
      <c r="F65" s="397"/>
      <c r="G65" s="12"/>
      <c r="I65" s="12"/>
      <c r="L65" s="12"/>
      <c r="M65" s="12"/>
      <c r="N65" s="12"/>
      <c r="O65" s="12"/>
      <c r="P65" s="12"/>
      <c r="Q65" s="12"/>
      <c r="R65" s="12"/>
    </row>
    <row r="66" spans="1:18" ht="15.6" customHeight="1">
      <c r="A66" s="157" t="s">
        <v>451</v>
      </c>
      <c r="B66" s="12"/>
      <c r="C66" s="12"/>
      <c r="E66" s="12"/>
      <c r="F66" s="274"/>
      <c r="G66" s="12"/>
      <c r="I66" s="12"/>
      <c r="L66" s="12"/>
      <c r="M66" s="12"/>
      <c r="N66" s="12"/>
      <c r="O66" s="12"/>
      <c r="P66" s="12"/>
      <c r="Q66" s="12"/>
      <c r="R66" s="12"/>
    </row>
    <row r="67" spans="1:18" ht="15.6" customHeight="1">
      <c r="A67" s="406" t="s">
        <v>254</v>
      </c>
      <c r="B67" s="402"/>
      <c r="C67" s="402"/>
      <c r="D67" s="402"/>
      <c r="E67" s="402"/>
      <c r="F67" s="275"/>
      <c r="G67" s="12"/>
      <c r="I67" s="12" t="s">
        <v>0</v>
      </c>
      <c r="L67" s="12"/>
      <c r="M67" s="12"/>
      <c r="N67" s="12"/>
      <c r="O67" s="12"/>
      <c r="P67" s="12"/>
      <c r="Q67" s="12"/>
      <c r="R67" s="12"/>
    </row>
    <row r="68" spans="1:18" ht="16.5">
      <c r="A68" s="337"/>
      <c r="B68" s="12"/>
      <c r="C68" s="12"/>
      <c r="D68" s="12"/>
      <c r="E68" s="12"/>
      <c r="F68" s="12"/>
      <c r="G68" s="12"/>
      <c r="I68" s="12"/>
      <c r="L68" s="12"/>
      <c r="M68" s="12"/>
      <c r="N68" s="12"/>
      <c r="O68" s="12"/>
      <c r="P68" s="12"/>
      <c r="Q68" s="12"/>
      <c r="R68" s="12"/>
    </row>
    <row r="69" spans="1:18" ht="17.25">
      <c r="A69" s="137" t="s">
        <v>452</v>
      </c>
      <c r="B69" s="125"/>
      <c r="C69" s="125"/>
      <c r="D69" s="125"/>
      <c r="E69" s="126"/>
      <c r="F69" s="125"/>
      <c r="G69" s="125"/>
      <c r="H69" s="125"/>
      <c r="I69" s="12"/>
      <c r="L69" s="12"/>
      <c r="M69" s="12"/>
      <c r="N69" s="12"/>
      <c r="O69" s="12"/>
      <c r="P69" s="12"/>
      <c r="Q69" s="12"/>
      <c r="R69" s="12"/>
    </row>
    <row r="70" spans="1:18" ht="17.25">
      <c r="A70" s="137"/>
      <c r="B70" s="125"/>
      <c r="C70" s="125"/>
      <c r="D70" s="125"/>
      <c r="E70" s="126"/>
      <c r="F70" s="125"/>
      <c r="G70" s="125"/>
      <c r="H70" s="125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6.5">
      <c r="A71" s="407" t="s">
        <v>453</v>
      </c>
      <c r="B71" s="125"/>
      <c r="C71" s="125"/>
      <c r="D71" s="125"/>
      <c r="E71" s="126"/>
      <c r="F71" s="125"/>
      <c r="G71" s="125"/>
      <c r="H71" s="125"/>
      <c r="I71" s="12"/>
    </row>
    <row r="72" spans="1:18" ht="16.5">
      <c r="A72" s="408" t="s">
        <v>505</v>
      </c>
      <c r="B72" s="125"/>
      <c r="C72" s="125"/>
      <c r="D72" s="125"/>
      <c r="E72" s="126"/>
      <c r="F72" s="125"/>
      <c r="G72" s="125"/>
      <c r="H72" s="125"/>
      <c r="I72" s="12"/>
    </row>
    <row r="73" spans="1:18" ht="16.5">
      <c r="A73" s="140" t="s">
        <v>351</v>
      </c>
      <c r="B73" s="410"/>
      <c r="C73" s="125"/>
      <c r="D73" s="125"/>
      <c r="E73" s="126"/>
      <c r="F73" s="125"/>
      <c r="G73" s="125"/>
      <c r="H73" s="125"/>
      <c r="I73" s="12"/>
    </row>
    <row r="74" spans="1:18" ht="16.5">
      <c r="A74" s="140" t="s">
        <v>513</v>
      </c>
      <c r="B74" s="125"/>
      <c r="C74" s="125"/>
      <c r="D74" s="125"/>
      <c r="E74" s="126"/>
      <c r="F74" s="125"/>
      <c r="G74" s="125"/>
      <c r="H74" s="125"/>
      <c r="I74" s="12"/>
    </row>
    <row r="75" spans="1:18">
      <c r="A75" s="140"/>
    </row>
    <row r="76" spans="1:18" ht="16.5">
      <c r="A76" s="407" t="s">
        <v>454</v>
      </c>
    </row>
    <row r="77" spans="1:18">
      <c r="A77" s="411" t="s">
        <v>494</v>
      </c>
    </row>
    <row r="78" spans="1:18" ht="16.5">
      <c r="A78" s="411" t="s">
        <v>495</v>
      </c>
      <c r="B78" s="375"/>
    </row>
    <row r="79" spans="1:18" ht="16.5">
      <c r="A79" s="449" t="s">
        <v>150</v>
      </c>
      <c r="B79" s="125"/>
      <c r="C79" s="125"/>
      <c r="D79" s="125"/>
      <c r="E79" s="126"/>
      <c r="F79" s="125"/>
      <c r="G79" s="125"/>
      <c r="H79" s="125"/>
      <c r="I79" s="12"/>
    </row>
    <row r="80" spans="1:18" ht="16.5">
      <c r="A80" s="124"/>
      <c r="B80" s="125"/>
      <c r="C80" s="125"/>
      <c r="D80" s="125"/>
      <c r="E80" s="126"/>
      <c r="F80" s="125"/>
      <c r="G80" s="125"/>
      <c r="H80" s="125"/>
      <c r="I80" s="12"/>
    </row>
    <row r="81" spans="1:9" ht="16.5">
      <c r="A81" s="407" t="s">
        <v>455</v>
      </c>
      <c r="B81" s="125"/>
      <c r="C81" s="125"/>
      <c r="D81" s="125"/>
      <c r="E81" s="126"/>
      <c r="F81" s="125"/>
      <c r="G81" s="125"/>
      <c r="H81" s="125"/>
      <c r="I81" s="12"/>
    </row>
    <row r="82" spans="1:9" ht="16.5">
      <c r="A82" s="411" t="s">
        <v>487</v>
      </c>
      <c r="B82" s="410"/>
      <c r="C82" s="410"/>
      <c r="D82" s="125"/>
      <c r="E82" s="126"/>
      <c r="F82" s="125"/>
      <c r="G82" s="125"/>
      <c r="H82" s="125"/>
      <c r="I82" s="12"/>
    </row>
    <row r="83" spans="1:9" ht="16.5">
      <c r="A83" s="449" t="s">
        <v>151</v>
      </c>
      <c r="B83" s="125"/>
      <c r="C83" s="125"/>
      <c r="D83" s="125"/>
      <c r="E83" s="126"/>
      <c r="F83" s="125"/>
      <c r="G83" s="125"/>
      <c r="H83" s="125"/>
      <c r="I83" s="12"/>
    </row>
    <row r="84" spans="1:9" ht="16.5">
      <c r="A84" s="140"/>
      <c r="B84" s="125"/>
      <c r="C84" s="125"/>
      <c r="D84" s="125"/>
      <c r="E84" s="126"/>
      <c r="F84" s="125"/>
      <c r="G84" s="125"/>
      <c r="H84" s="125"/>
      <c r="I84" s="12"/>
    </row>
    <row r="85" spans="1:9" ht="16.5">
      <c r="A85" s="407" t="s">
        <v>456</v>
      </c>
      <c r="B85" s="125"/>
      <c r="D85" s="125" t="s">
        <v>0</v>
      </c>
      <c r="E85" s="126"/>
      <c r="F85" s="125"/>
      <c r="G85" s="125"/>
      <c r="H85" s="125"/>
      <c r="I85" s="12"/>
    </row>
    <row r="86" spans="1:9" ht="16.5">
      <c r="A86" s="414" t="s">
        <v>488</v>
      </c>
      <c r="G86" s="125"/>
      <c r="H86" s="125"/>
      <c r="I86" s="125"/>
    </row>
    <row r="87" spans="1:9" ht="16.5">
      <c r="A87" s="409" t="s">
        <v>457</v>
      </c>
      <c r="C87" s="125"/>
      <c r="E87" s="126"/>
      <c r="F87" s="125"/>
      <c r="G87" s="125"/>
      <c r="H87" s="125"/>
      <c r="I87" s="12"/>
    </row>
    <row r="88" spans="1:9" ht="16.5">
      <c r="A88" s="413" t="s">
        <v>489</v>
      </c>
      <c r="B88" s="413"/>
      <c r="C88" s="125"/>
      <c r="D88" s="413"/>
      <c r="E88" s="126"/>
      <c r="F88" s="125"/>
      <c r="G88" s="125"/>
      <c r="H88" s="125"/>
      <c r="I88" s="12"/>
    </row>
    <row r="89" spans="1:9" ht="16.5">
      <c r="A89" s="449" t="s">
        <v>490</v>
      </c>
      <c r="B89" s="413"/>
      <c r="C89" s="125"/>
      <c r="D89" s="413"/>
      <c r="E89" s="126"/>
      <c r="F89" s="125"/>
      <c r="G89" s="125"/>
      <c r="H89" s="125"/>
      <c r="I89" s="12"/>
    </row>
    <row r="90" spans="1:9" ht="16.5">
      <c r="A90" s="449" t="s">
        <v>458</v>
      </c>
      <c r="B90" s="125"/>
      <c r="C90" s="125"/>
      <c r="D90" s="125"/>
      <c r="E90" s="126"/>
      <c r="F90" s="125"/>
      <c r="G90" s="125"/>
      <c r="H90" s="125"/>
      <c r="I90" s="12"/>
    </row>
    <row r="91" spans="1:9" ht="16.5">
      <c r="A91" s="140"/>
      <c r="B91" s="125"/>
      <c r="D91" s="125"/>
      <c r="E91" s="126"/>
      <c r="F91" s="125"/>
      <c r="G91" s="125"/>
      <c r="H91" s="125"/>
      <c r="I91" s="12"/>
    </row>
    <row r="92" spans="1:9" ht="16.5">
      <c r="A92" s="407" t="s">
        <v>459</v>
      </c>
      <c r="B92" s="125"/>
      <c r="D92" s="125"/>
      <c r="E92" s="126"/>
      <c r="F92" s="125"/>
      <c r="G92" s="125"/>
      <c r="H92" s="125"/>
      <c r="I92" s="12"/>
    </row>
    <row r="93" spans="1:9" ht="16.5">
      <c r="A93" s="411" t="s">
        <v>491</v>
      </c>
      <c r="B93" s="125"/>
      <c r="D93" s="125"/>
      <c r="E93" s="126"/>
      <c r="F93" s="125"/>
      <c r="G93" s="125"/>
      <c r="H93" s="125"/>
      <c r="I93" s="12"/>
    </row>
    <row r="94" spans="1:9" ht="16.5">
      <c r="A94" s="449" t="s">
        <v>460</v>
      </c>
      <c r="B94" s="125"/>
      <c r="C94" s="125"/>
      <c r="D94" s="125"/>
      <c r="E94" s="126"/>
      <c r="F94" s="125"/>
      <c r="G94" s="125"/>
      <c r="H94" s="125"/>
      <c r="I94" s="12"/>
    </row>
    <row r="95" spans="1:9" ht="16.5">
      <c r="A95" s="412"/>
      <c r="C95" s="125"/>
      <c r="D95" s="125"/>
      <c r="E95" s="126"/>
      <c r="F95" s="125"/>
      <c r="G95" s="125"/>
      <c r="H95" s="125"/>
      <c r="I95" s="12"/>
    </row>
    <row r="96" spans="1:9" ht="16.5">
      <c r="A96" s="407" t="s">
        <v>461</v>
      </c>
      <c r="B96" s="125"/>
      <c r="C96" s="125"/>
      <c r="D96" s="125"/>
      <c r="E96" s="126"/>
      <c r="F96" s="125"/>
      <c r="G96" s="125"/>
      <c r="H96" s="125"/>
      <c r="I96" s="12"/>
    </row>
    <row r="97" spans="1:9" ht="16.5">
      <c r="A97" s="415" t="s">
        <v>496</v>
      </c>
      <c r="B97" s="125"/>
      <c r="C97" s="125"/>
      <c r="D97" s="125"/>
      <c r="E97" s="126"/>
      <c r="F97" s="125"/>
      <c r="G97" s="125"/>
      <c r="H97" s="125"/>
      <c r="I97" s="12"/>
    </row>
    <row r="98" spans="1:9" ht="16.5">
      <c r="A98" s="416" t="s">
        <v>462</v>
      </c>
      <c r="B98" s="417"/>
      <c r="C98" s="125"/>
      <c r="D98" s="125"/>
      <c r="E98" s="126"/>
      <c r="F98" s="125"/>
      <c r="G98" s="125"/>
      <c r="H98" s="125"/>
      <c r="I98" s="12"/>
    </row>
    <row r="99" spans="1:9" ht="16.5">
      <c r="A99" s="449" t="s">
        <v>463</v>
      </c>
      <c r="B99" s="125"/>
      <c r="C99" s="125"/>
      <c r="D99" s="125"/>
      <c r="E99" s="126"/>
      <c r="F99" s="125"/>
      <c r="G99" s="125"/>
      <c r="H99" s="125"/>
      <c r="I99" s="12"/>
    </row>
    <row r="100" spans="1:9" ht="16.5">
      <c r="A100" s="418"/>
      <c r="B100" s="125"/>
      <c r="C100" s="125"/>
      <c r="D100" s="125"/>
      <c r="E100" s="126"/>
      <c r="F100" s="125"/>
      <c r="G100" s="125"/>
      <c r="H100" s="125"/>
      <c r="I100" s="12"/>
    </row>
    <row r="101" spans="1:9" ht="16.5">
      <c r="A101" s="407" t="s">
        <v>464</v>
      </c>
      <c r="B101" s="125"/>
      <c r="C101" s="125"/>
      <c r="D101" s="125"/>
      <c r="E101" s="126"/>
      <c r="F101" s="125"/>
      <c r="G101" s="125"/>
      <c r="H101" s="125"/>
      <c r="I101" s="12"/>
    </row>
    <row r="102" spans="1:9" ht="16.5">
      <c r="A102" s="415" t="s">
        <v>496</v>
      </c>
      <c r="B102" s="125"/>
      <c r="C102" s="125"/>
      <c r="D102" s="125"/>
      <c r="E102" s="126"/>
      <c r="F102" s="125"/>
      <c r="G102" s="125"/>
      <c r="H102" s="125"/>
      <c r="I102" s="12"/>
    </row>
    <row r="103" spans="1:9" ht="16.5">
      <c r="A103" s="416" t="s">
        <v>506</v>
      </c>
      <c r="B103" s="125"/>
      <c r="C103" s="125"/>
      <c r="D103" s="125"/>
      <c r="E103" s="126"/>
      <c r="F103" s="125"/>
      <c r="G103" s="125"/>
      <c r="H103" s="125"/>
      <c r="I103" s="12"/>
    </row>
    <row r="104" spans="1:9" ht="16.5">
      <c r="A104" s="413" t="s">
        <v>497</v>
      </c>
      <c r="B104" s="125"/>
      <c r="C104" s="125"/>
      <c r="D104" s="125"/>
      <c r="E104" s="126"/>
      <c r="F104" s="125"/>
      <c r="G104" s="125"/>
      <c r="H104" s="125"/>
      <c r="I104" s="12"/>
    </row>
    <row r="105" spans="1:9">
      <c r="A105" s="418"/>
    </row>
    <row r="106" spans="1:9" ht="16.5">
      <c r="A106" s="376" t="s">
        <v>511</v>
      </c>
    </row>
    <row r="107" spans="1:9" ht="16.5">
      <c r="A107" s="413" t="s">
        <v>474</v>
      </c>
    </row>
    <row r="108" spans="1:9">
      <c r="A108" s="449" t="s">
        <v>512</v>
      </c>
    </row>
  </sheetData>
  <hyperlinks>
    <hyperlink ref="A73" r:id="rId1" xr:uid="{57913583-06E6-40D7-A369-FE5E62CE2FE6}"/>
    <hyperlink ref="A79" r:id="rId2" xr:uid="{79FBC108-16C9-4462-970A-4DEDCE8FF9B7}"/>
    <hyperlink ref="A83" r:id="rId3" xr:uid="{2CB27260-8CB9-4403-A2B9-FFF3C9FB2E17}"/>
    <hyperlink ref="A94" r:id="rId4" xr:uid="{03F8BF9E-2CFF-452A-8BFE-2999580C6816}"/>
    <hyperlink ref="A99" r:id="rId5" xr:uid="{003636E3-D938-44D0-BF58-29A88CB99FD7}"/>
    <hyperlink ref="A104" r:id="rId6" display="https://www.federalreserve.gov/monetarypolicy/files/fomcprojtabl20241218.pd" xr:uid="{BCE069E9-0E75-43E7-A992-33E89841CD80}"/>
    <hyperlink ref="A89" r:id="rId7" xr:uid="{2FBA7E34-114B-4681-B51B-0E31F5922730}"/>
    <hyperlink ref="A88" r:id="rId8" display="https://www.cbo.gov/system/files/2025-01/60870-Outlook-2025.pdf" xr:uid="{E08047B6-DA2E-4B42-90FC-65D9F24C577E}"/>
    <hyperlink ref="A90" r:id="rId9" xr:uid="{D9303342-04EB-4FAF-B55B-D8DFDE0F3F3C}"/>
    <hyperlink ref="A87" r:id="rId10" location="4" display="https://www.cbo.gov/data/budget-economic-data - 4" xr:uid="{FDB31F04-50EE-41C8-A0B9-4A6628A2EFD2}"/>
    <hyperlink ref="A67" r:id="rId11" xr:uid="{8165E29A-A1A6-4F97-8AE6-9295A8C20B0B}"/>
    <hyperlink ref="A107" r:id="rId12" xr:uid="{09F217C5-7016-4BC3-AEDD-E4CE03631D6B}"/>
    <hyperlink ref="A108" r:id="rId13" xr:uid="{6A5977BE-193F-4C97-8C90-761073806AB7}"/>
    <hyperlink ref="A74" r:id="rId14" xr:uid="{C6B571D1-C3B4-4E36-A41D-DA5AB367E2BE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2F14-3100-4220-9131-7F24097183B2}">
  <sheetPr>
    <tabColor rgb="FF92D050"/>
    <pageSetUpPr fitToPage="1"/>
  </sheetPr>
  <dimension ref="A1:I106"/>
  <sheetViews>
    <sheetView view="pageBreakPreview" topLeftCell="A14" zoomScale="70" zoomScaleNormal="80" zoomScaleSheetLayoutView="70" workbookViewId="0">
      <selection activeCell="D40" sqref="D40"/>
    </sheetView>
  </sheetViews>
  <sheetFormatPr defaultRowHeight="15"/>
  <cols>
    <col min="1" max="1" width="45.7109375" customWidth="1"/>
    <col min="2" max="2" width="17.42578125" customWidth="1"/>
    <col min="3" max="3" width="72.140625" customWidth="1"/>
    <col min="4" max="4" width="34.5703125" customWidth="1"/>
    <col min="5" max="5" width="21.7109375" customWidth="1"/>
    <col min="6" max="6" width="17.85546875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28515625" customWidth="1"/>
    <col min="12" max="12" width="24.140625" customWidth="1"/>
  </cols>
  <sheetData>
    <row r="1" spans="1:9" ht="26.25">
      <c r="A1" s="24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7.25">
      <c r="A2" s="62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6.5">
      <c r="A3" s="26" t="s">
        <v>439</v>
      </c>
      <c r="B3" s="12"/>
      <c r="C3" s="12"/>
      <c r="D3" s="12"/>
      <c r="E3" s="12"/>
      <c r="F3" s="12"/>
      <c r="G3" s="12"/>
      <c r="H3" s="12"/>
      <c r="I3" s="12"/>
    </row>
    <row r="4" spans="1:9" ht="16.5">
      <c r="A4" s="12"/>
      <c r="B4" s="12"/>
      <c r="C4" s="12"/>
      <c r="D4" s="12"/>
      <c r="E4" s="12"/>
      <c r="F4" s="12"/>
      <c r="G4" s="12"/>
      <c r="H4" s="12"/>
      <c r="I4" s="12"/>
    </row>
    <row r="5" spans="1:9" ht="18" thickBot="1">
      <c r="A5" s="62"/>
      <c r="B5" s="12"/>
      <c r="C5" s="12"/>
      <c r="D5" s="12"/>
      <c r="E5" s="12"/>
      <c r="F5" s="12"/>
      <c r="G5" s="12"/>
      <c r="H5" s="12"/>
      <c r="I5" s="12"/>
    </row>
    <row r="6" spans="1:9" ht="21" thickBot="1">
      <c r="A6" s="235" t="str">
        <f>+'S&amp;D'!A12</f>
        <v>Electric Wholesale (non-regulated) Power Generator</v>
      </c>
      <c r="B6" s="236"/>
      <c r="C6" s="173"/>
      <c r="D6" s="12"/>
      <c r="E6" s="12"/>
      <c r="F6" s="12"/>
      <c r="G6" s="12"/>
      <c r="H6" s="12"/>
      <c r="I6" s="12"/>
    </row>
    <row r="7" spans="1:9" ht="20.25">
      <c r="A7" s="30"/>
      <c r="B7" s="12"/>
      <c r="C7" s="12"/>
      <c r="D7" s="12"/>
      <c r="E7" s="12"/>
      <c r="F7" s="12"/>
      <c r="G7" s="12"/>
      <c r="H7" s="12"/>
      <c r="I7" s="12"/>
    </row>
    <row r="8" spans="1:9" ht="18" thickBot="1">
      <c r="A8" s="62"/>
      <c r="B8" s="12"/>
      <c r="C8" s="29"/>
      <c r="E8" s="12"/>
      <c r="F8" s="12"/>
      <c r="G8" s="12"/>
      <c r="H8" s="12"/>
      <c r="I8" s="12"/>
    </row>
    <row r="9" spans="1:9" ht="26.25">
      <c r="B9" s="12"/>
      <c r="C9" s="31" t="s">
        <v>157</v>
      </c>
      <c r="E9" s="12"/>
      <c r="F9" s="12"/>
      <c r="G9" s="12"/>
      <c r="H9" s="12"/>
      <c r="I9" s="12"/>
    </row>
    <row r="10" spans="1:9" ht="21" thickBot="1">
      <c r="A10" s="30"/>
      <c r="B10" s="12"/>
      <c r="C10" s="32" t="s">
        <v>440</v>
      </c>
      <c r="E10" s="12"/>
      <c r="F10" s="12"/>
      <c r="G10" s="12"/>
      <c r="H10" s="12"/>
      <c r="I10" s="12"/>
    </row>
    <row r="11" spans="1:9" ht="20.25">
      <c r="A11" s="30"/>
      <c r="B11" s="12"/>
      <c r="C11" s="12"/>
      <c r="D11" s="12"/>
      <c r="E11" s="12"/>
      <c r="F11" s="12"/>
      <c r="G11" s="12"/>
      <c r="H11" s="12"/>
      <c r="I11" s="12"/>
    </row>
    <row r="12" spans="1:9" ht="17.25" thickBot="1">
      <c r="A12" s="12"/>
      <c r="B12" s="12"/>
      <c r="C12" s="12"/>
      <c r="D12" s="12"/>
      <c r="E12" s="12"/>
      <c r="F12" s="12"/>
      <c r="G12" s="12"/>
      <c r="H12" s="12"/>
      <c r="I12" s="12"/>
    </row>
    <row r="13" spans="1:9" ht="16.5">
      <c r="A13" s="12"/>
      <c r="B13" s="12"/>
      <c r="C13" s="78" t="s">
        <v>0</v>
      </c>
      <c r="D13" s="78" t="s">
        <v>192</v>
      </c>
      <c r="E13" s="12"/>
      <c r="F13" s="12"/>
      <c r="G13" s="12"/>
      <c r="H13" s="12"/>
      <c r="I13" s="12"/>
    </row>
    <row r="14" spans="1:9" ht="21" thickBot="1">
      <c r="A14" s="12"/>
      <c r="B14" s="12"/>
      <c r="C14" s="300" t="s">
        <v>156</v>
      </c>
      <c r="D14" s="80" t="s">
        <v>265</v>
      </c>
      <c r="E14" s="12"/>
      <c r="F14" s="12"/>
      <c r="G14" s="12"/>
      <c r="H14" s="12"/>
      <c r="I14" s="12"/>
    </row>
    <row r="15" spans="1:9" ht="17.25">
      <c r="A15" s="12"/>
      <c r="B15" s="12"/>
      <c r="C15" s="301" t="s">
        <v>371</v>
      </c>
      <c r="D15" s="302">
        <f>+CAPM!F16</f>
        <v>7.8087999999999991E-2</v>
      </c>
      <c r="E15" s="303"/>
      <c r="F15" s="12"/>
      <c r="G15" s="12"/>
      <c r="H15" s="12"/>
      <c r="I15" s="12"/>
    </row>
    <row r="16" spans="1:9" ht="17.25">
      <c r="A16" s="12"/>
      <c r="B16" s="12"/>
      <c r="C16" s="238" t="s">
        <v>372</v>
      </c>
      <c r="D16" s="313">
        <f>+CAPM!F17</f>
        <v>7.8495999999999996E-2</v>
      </c>
      <c r="E16" s="303"/>
      <c r="F16" s="12"/>
      <c r="G16" s="12"/>
      <c r="H16" s="12"/>
      <c r="I16" s="12"/>
    </row>
    <row r="17" spans="1:9" ht="17.25">
      <c r="A17" s="12"/>
      <c r="B17" s="12"/>
      <c r="C17" s="238" t="s">
        <v>388</v>
      </c>
      <c r="D17" s="313">
        <f>+CAPM!F19</f>
        <v>9.1245999999999994E-2</v>
      </c>
      <c r="E17" s="303"/>
      <c r="F17" s="12"/>
      <c r="G17" s="12"/>
      <c r="H17" s="12"/>
      <c r="I17" s="12"/>
    </row>
    <row r="18" spans="1:9" ht="17.25">
      <c r="A18" s="12"/>
      <c r="B18" s="12"/>
      <c r="C18" s="238" t="s">
        <v>402</v>
      </c>
      <c r="D18" s="313">
        <f>+CAPM!F20</f>
        <v>0.11113600000000001</v>
      </c>
      <c r="E18" s="303"/>
      <c r="F18" s="12"/>
      <c r="G18" s="12"/>
      <c r="H18" s="12"/>
      <c r="I18" s="12"/>
    </row>
    <row r="19" spans="1:9" ht="17.25">
      <c r="A19" s="12"/>
      <c r="B19" s="12"/>
      <c r="C19" s="238" t="s">
        <v>389</v>
      </c>
      <c r="D19" s="313">
        <f>+CAPM!F21</f>
        <v>8.8492000000000001E-2</v>
      </c>
      <c r="E19" s="303"/>
      <c r="F19" s="12"/>
      <c r="G19" s="12"/>
      <c r="H19" s="12"/>
      <c r="I19" s="12"/>
    </row>
    <row r="20" spans="1:9" ht="17.25">
      <c r="A20" s="12"/>
      <c r="B20" s="12"/>
      <c r="C20" s="238" t="s">
        <v>390</v>
      </c>
      <c r="D20" s="313">
        <f>+CAPM!F22</f>
        <v>8.5024000000000002E-2</v>
      </c>
      <c r="E20" s="303"/>
      <c r="F20" s="12"/>
      <c r="G20" s="12"/>
      <c r="H20" s="12"/>
      <c r="I20" s="12"/>
    </row>
    <row r="21" spans="1:9" ht="17.25">
      <c r="A21" s="12"/>
      <c r="B21" s="12"/>
      <c r="C21" s="238" t="s">
        <v>158</v>
      </c>
      <c r="D21" s="313">
        <f>+CAPM!F24</f>
        <v>0.105322</v>
      </c>
      <c r="E21" s="303"/>
      <c r="F21" s="12"/>
      <c r="G21" s="12"/>
      <c r="H21" s="12"/>
      <c r="I21" s="12"/>
    </row>
    <row r="22" spans="1:9" ht="17.25">
      <c r="A22" s="12"/>
      <c r="B22" s="12"/>
      <c r="C22" s="314" t="s">
        <v>159</v>
      </c>
      <c r="D22" s="313">
        <f>+CAPM!F26</f>
        <v>0.1042</v>
      </c>
      <c r="E22" s="303"/>
      <c r="F22" s="12"/>
      <c r="G22" s="12"/>
      <c r="H22" s="12"/>
      <c r="I22" s="12"/>
    </row>
    <row r="23" spans="1:9" ht="17.25">
      <c r="A23" s="12"/>
      <c r="B23" s="12"/>
      <c r="C23" s="314" t="s">
        <v>160</v>
      </c>
      <c r="D23" s="313">
        <f>+CAPM!F28</f>
        <v>0.117256</v>
      </c>
      <c r="G23" s="12"/>
      <c r="H23" s="12"/>
      <c r="I23" s="12"/>
    </row>
    <row r="24" spans="1:9" ht="17.25">
      <c r="A24" s="12"/>
      <c r="B24" s="12"/>
      <c r="C24" s="314" t="s">
        <v>161</v>
      </c>
      <c r="D24" s="313">
        <f>+CAPM!F29</f>
        <v>0.10460799999999999</v>
      </c>
      <c r="G24" s="12"/>
      <c r="H24" s="12"/>
      <c r="I24" s="12"/>
    </row>
    <row r="25" spans="1:9" ht="17.25">
      <c r="A25" s="12"/>
      <c r="B25" s="12"/>
      <c r="C25" s="315" t="s">
        <v>391</v>
      </c>
      <c r="D25" s="313">
        <f>+CAPM!F31</f>
        <v>0.12327399999999999</v>
      </c>
      <c r="G25" s="12"/>
      <c r="H25" s="12"/>
      <c r="I25" s="12"/>
    </row>
    <row r="26" spans="1:9" ht="17.25">
      <c r="A26" s="12"/>
      <c r="B26" s="12"/>
      <c r="C26" s="315" t="s">
        <v>392</v>
      </c>
      <c r="D26" s="313">
        <f>+CAPM!F32</f>
        <v>0.11246200000000001</v>
      </c>
      <c r="E26" s="304"/>
      <c r="F26" s="12"/>
      <c r="G26" s="12"/>
      <c r="H26" s="12"/>
      <c r="I26" s="12"/>
    </row>
    <row r="27" spans="1:9" ht="17.25">
      <c r="A27" s="12"/>
      <c r="B27" s="12"/>
      <c r="C27" s="315" t="s">
        <v>393</v>
      </c>
      <c r="D27" s="313">
        <f>+CAPM!F33</f>
        <v>9.9099999999999994E-2</v>
      </c>
      <c r="E27" s="304"/>
      <c r="F27" s="12"/>
      <c r="G27" s="12"/>
      <c r="H27" s="12"/>
      <c r="I27" s="12"/>
    </row>
    <row r="28" spans="1:9" ht="17.25">
      <c r="A28" s="12"/>
      <c r="B28" s="12"/>
      <c r="C28" s="314" t="s">
        <v>373</v>
      </c>
      <c r="D28" s="313">
        <f>+CAPM!G42</f>
        <v>7.7940999999999996E-2</v>
      </c>
      <c r="E28" s="303"/>
      <c r="F28" s="12"/>
      <c r="G28" s="12"/>
      <c r="H28" s="12"/>
      <c r="I28" s="12"/>
    </row>
    <row r="29" spans="1:9" ht="17.25">
      <c r="A29" s="12"/>
      <c r="B29" s="12"/>
      <c r="C29" s="314" t="s">
        <v>374</v>
      </c>
      <c r="D29" s="313">
        <f>+CAPM!G43</f>
        <v>7.8347E-2</v>
      </c>
      <c r="E29" s="303"/>
      <c r="F29" s="12"/>
      <c r="G29" s="12"/>
      <c r="H29" s="12"/>
      <c r="I29" s="12"/>
    </row>
    <row r="30" spans="1:9" ht="17.25">
      <c r="A30" s="12"/>
      <c r="B30" s="12"/>
      <c r="C30" s="238" t="s">
        <v>394</v>
      </c>
      <c r="D30" s="313">
        <f>+CAPM!G45</f>
        <v>9.103449999999999E-2</v>
      </c>
      <c r="E30" s="303"/>
      <c r="F30" s="12"/>
      <c r="G30" s="12"/>
      <c r="H30" s="12"/>
      <c r="I30" s="12"/>
    </row>
    <row r="31" spans="1:9" ht="17.25">
      <c r="A31" s="12"/>
      <c r="B31" s="12"/>
      <c r="C31" s="238" t="s">
        <v>403</v>
      </c>
      <c r="D31" s="313">
        <f>+CAPM!G46</f>
        <v>0.11082700000000001</v>
      </c>
      <c r="E31" s="303"/>
      <c r="F31" s="12"/>
      <c r="G31" s="12"/>
      <c r="H31" s="12"/>
      <c r="I31" s="12"/>
    </row>
    <row r="32" spans="1:9" ht="17.25">
      <c r="A32" s="12"/>
      <c r="B32" s="12"/>
      <c r="C32" s="238" t="s">
        <v>395</v>
      </c>
      <c r="D32" s="313">
        <f>+CAPM!G47</f>
        <v>8.8293999999999997E-2</v>
      </c>
      <c r="E32" s="303"/>
      <c r="F32" s="12"/>
      <c r="G32" s="12"/>
      <c r="H32" s="12"/>
      <c r="I32" s="12"/>
    </row>
    <row r="33" spans="1:9" ht="17.25">
      <c r="A33" s="12"/>
      <c r="B33" s="12"/>
      <c r="C33" s="238" t="s">
        <v>396</v>
      </c>
      <c r="D33" s="313">
        <f>+CAPM!G48</f>
        <v>8.4843000000000002E-2</v>
      </c>
      <c r="E33" s="303"/>
      <c r="F33" s="12"/>
      <c r="G33" s="12"/>
      <c r="H33" s="12"/>
      <c r="I33" s="12"/>
    </row>
    <row r="34" spans="1:9" ht="17.25">
      <c r="A34" s="12"/>
      <c r="B34" s="12"/>
      <c r="C34" s="314" t="s">
        <v>162</v>
      </c>
      <c r="D34" s="313">
        <f>+CAPM!G50</f>
        <v>0.10504149999999998</v>
      </c>
      <c r="E34" s="303"/>
      <c r="F34" s="12"/>
      <c r="G34" s="12"/>
      <c r="H34" s="12"/>
      <c r="I34" s="12"/>
    </row>
    <row r="35" spans="1:9" ht="17.25">
      <c r="A35" s="12"/>
      <c r="B35" s="12"/>
      <c r="C35" s="314" t="s">
        <v>163</v>
      </c>
      <c r="D35" s="313">
        <f>+CAPM!G52</f>
        <v>0.10392499999999999</v>
      </c>
      <c r="E35" s="303"/>
      <c r="F35" s="12"/>
      <c r="G35" s="12"/>
      <c r="H35" s="12"/>
      <c r="I35" s="12"/>
    </row>
    <row r="36" spans="1:9" ht="17.25">
      <c r="A36" s="12"/>
      <c r="B36" s="12"/>
      <c r="C36" s="315" t="s">
        <v>164</v>
      </c>
      <c r="D36" s="313">
        <f>+CAPM!G54</f>
        <v>0.11691699999999999</v>
      </c>
      <c r="E36" s="303"/>
      <c r="F36" s="12"/>
      <c r="G36" s="12"/>
      <c r="H36" s="12"/>
      <c r="I36" s="12"/>
    </row>
    <row r="37" spans="1:9" ht="17.25">
      <c r="A37" s="12"/>
      <c r="B37" s="12"/>
      <c r="C37" s="314" t="s">
        <v>165</v>
      </c>
      <c r="D37" s="313">
        <f>+CAPM!G55</f>
        <v>0.10433099999999999</v>
      </c>
      <c r="E37" s="303"/>
      <c r="F37" s="12"/>
      <c r="G37" s="12"/>
      <c r="H37" s="12"/>
      <c r="I37" s="12"/>
    </row>
    <row r="38" spans="1:9" ht="16.5" customHeight="1">
      <c r="A38" s="12"/>
      <c r="B38" s="12"/>
      <c r="C38" s="315" t="s">
        <v>397</v>
      </c>
      <c r="D38" s="313">
        <f>+CAPM!G57</f>
        <v>0.1229055</v>
      </c>
      <c r="E38" s="303" t="s">
        <v>0</v>
      </c>
      <c r="F38" s="12"/>
      <c r="G38" s="12"/>
      <c r="H38" s="12"/>
      <c r="I38" s="12"/>
    </row>
    <row r="39" spans="1:9" ht="16.5" customHeight="1">
      <c r="A39" s="12"/>
      <c r="B39" s="12"/>
      <c r="C39" s="315" t="s">
        <v>398</v>
      </c>
      <c r="D39" s="313">
        <f>+CAPM!G58</f>
        <v>0.11214650000000001</v>
      </c>
      <c r="E39" s="303"/>
      <c r="F39" s="12"/>
      <c r="G39" s="12"/>
      <c r="H39" s="12"/>
      <c r="I39" s="12"/>
    </row>
    <row r="40" spans="1:9" ht="18.75" customHeight="1">
      <c r="A40" s="12"/>
      <c r="B40" s="12"/>
      <c r="C40" s="350" t="s">
        <v>399</v>
      </c>
      <c r="D40" s="351">
        <f>+CAPM!G59</f>
        <v>9.8849999999999993E-2</v>
      </c>
      <c r="E40" s="305"/>
      <c r="F40" s="12"/>
      <c r="G40" s="12"/>
      <c r="H40" s="12"/>
      <c r="I40" s="12"/>
    </row>
    <row r="41" spans="1:9" ht="21.75" customHeight="1">
      <c r="A41" s="12"/>
      <c r="B41" s="12"/>
      <c r="C41" s="316" t="s">
        <v>238</v>
      </c>
      <c r="D41" s="190">
        <f>+'Single Stage Div Growth Model'!I30</f>
        <v>0.1002</v>
      </c>
      <c r="G41" s="12"/>
      <c r="H41" s="12"/>
      <c r="I41" s="12"/>
    </row>
    <row r="42" spans="1:9" ht="21.75" customHeight="1">
      <c r="A42" s="12"/>
      <c r="B42" s="12"/>
      <c r="C42" s="239" t="s">
        <v>237</v>
      </c>
      <c r="D42" s="190">
        <f>+'Single Stage Div Growth Model'!I32</f>
        <v>0.20519999999999999</v>
      </c>
      <c r="G42" s="12"/>
      <c r="H42" s="12"/>
      <c r="I42" s="12"/>
    </row>
    <row r="43" spans="1:9" ht="21.75" customHeight="1">
      <c r="A43" s="12"/>
      <c r="B43" s="12"/>
      <c r="C43" s="306" t="s">
        <v>239</v>
      </c>
      <c r="D43" s="307">
        <f>+'Two-Stage Dividend Growth Model'!H34</f>
        <v>0.16350000000000001</v>
      </c>
      <c r="G43" s="81" t="s">
        <v>0</v>
      </c>
      <c r="H43" s="12"/>
      <c r="I43" s="12"/>
    </row>
    <row r="44" spans="1:9" ht="21.75" customHeight="1">
      <c r="A44" s="12"/>
      <c r="B44" s="12"/>
      <c r="C44" s="292" t="s">
        <v>339</v>
      </c>
      <c r="D44" s="293">
        <f>+'Direct NOPAT'!G59</f>
        <v>0.1087</v>
      </c>
      <c r="E44" s="166" t="s">
        <v>0</v>
      </c>
      <c r="F44" s="12"/>
      <c r="G44" s="12"/>
      <c r="H44" s="12"/>
      <c r="I44" s="12"/>
    </row>
    <row r="45" spans="1:9" ht="17.25" thickBot="1">
      <c r="A45" s="12"/>
      <c r="B45" s="12"/>
      <c r="C45" s="12"/>
      <c r="D45" s="70"/>
      <c r="E45" s="12"/>
      <c r="F45" s="12"/>
      <c r="G45" s="12"/>
      <c r="H45" s="12"/>
      <c r="I45" s="12"/>
    </row>
    <row r="46" spans="1:9" ht="17.25" thickTop="1">
      <c r="A46" s="12"/>
      <c r="B46" s="12"/>
      <c r="C46" s="14" t="s">
        <v>51</v>
      </c>
      <c r="D46" s="51">
        <f>MAX(D15:D43)</f>
        <v>0.20519999999999999</v>
      </c>
      <c r="E46" s="139"/>
      <c r="F46" s="12"/>
      <c r="G46" s="12"/>
      <c r="H46" s="12"/>
      <c r="I46" s="12"/>
    </row>
    <row r="47" spans="1:9" ht="16.5">
      <c r="A47" s="12"/>
      <c r="B47" s="12"/>
      <c r="C47" s="14" t="s">
        <v>52</v>
      </c>
      <c r="D47" s="299">
        <f>MIN(D15:D43)</f>
        <v>7.7940999999999996E-2</v>
      </c>
      <c r="E47" s="12"/>
      <c r="F47" s="12"/>
      <c r="G47" s="51"/>
      <c r="H47" s="51"/>
      <c r="I47" s="51"/>
    </row>
    <row r="48" spans="1:9" ht="16.5">
      <c r="A48" s="12"/>
      <c r="B48" s="12"/>
      <c r="C48" s="14" t="s">
        <v>18</v>
      </c>
      <c r="D48" s="81">
        <f>MEDIAN(D15:D43)</f>
        <v>0.1042</v>
      </c>
      <c r="E48" s="81"/>
      <c r="F48" s="81"/>
      <c r="G48" s="81"/>
      <c r="H48" s="81"/>
      <c r="I48" s="81"/>
    </row>
    <row r="49" spans="1:9" ht="16.5">
      <c r="A49" s="12"/>
      <c r="B49" s="12"/>
      <c r="C49" s="14" t="s">
        <v>375</v>
      </c>
      <c r="D49" s="82">
        <f>AVERAGE(D15:D43)</f>
        <v>0.10562093103448277</v>
      </c>
      <c r="E49" s="82"/>
      <c r="F49" s="82"/>
      <c r="G49" s="82"/>
      <c r="H49" s="82"/>
      <c r="I49" s="82"/>
    </row>
    <row r="50" spans="1:9" ht="16.5">
      <c r="A50" s="12"/>
      <c r="B50" s="12"/>
      <c r="C50" s="14"/>
      <c r="D50" s="82"/>
      <c r="E50" s="82"/>
      <c r="F50" s="82"/>
      <c r="G50" s="82"/>
      <c r="H50" s="82"/>
      <c r="I50" s="82"/>
    </row>
    <row r="51" spans="1:9" ht="17.25" thickBot="1">
      <c r="A51" s="12"/>
      <c r="B51" s="12"/>
      <c r="C51" s="12"/>
      <c r="D51" s="12" t="s">
        <v>194</v>
      </c>
      <c r="E51" s="12"/>
      <c r="F51" s="12"/>
      <c r="G51" s="12"/>
      <c r="H51" s="12"/>
      <c r="I51" s="12"/>
    </row>
    <row r="52" spans="1:9" ht="27" thickBot="1">
      <c r="A52" s="12"/>
      <c r="B52" s="12"/>
      <c r="C52" s="180" t="s">
        <v>245</v>
      </c>
      <c r="D52" s="332">
        <v>0.1056</v>
      </c>
      <c r="E52" s="83"/>
      <c r="F52" s="83"/>
    </row>
    <row r="53" spans="1:9" ht="16.5">
      <c r="A53" s="12"/>
      <c r="B53" s="12"/>
      <c r="C53" s="12"/>
      <c r="D53" s="12"/>
      <c r="E53" s="12"/>
      <c r="F53" s="12"/>
    </row>
    <row r="54" spans="1:9" ht="17.25">
      <c r="A54" s="108" t="s">
        <v>0</v>
      </c>
      <c r="B54" s="12"/>
      <c r="C54" s="12"/>
      <c r="D54" s="12"/>
      <c r="E54" s="12"/>
      <c r="F54" s="12"/>
      <c r="G54" s="12"/>
      <c r="H54" s="12"/>
      <c r="I54" s="12"/>
    </row>
    <row r="55" spans="1:9" ht="17.25">
      <c r="A55" s="108" t="s">
        <v>0</v>
      </c>
      <c r="B55" s="12"/>
      <c r="C55" s="12"/>
      <c r="D55" s="12"/>
      <c r="E55" s="12"/>
      <c r="F55" s="12"/>
      <c r="G55" s="12"/>
      <c r="H55" s="12"/>
      <c r="I55" s="12"/>
    </row>
    <row r="56" spans="1:9" ht="16.5">
      <c r="A56" s="12"/>
      <c r="B56" s="12"/>
      <c r="C56" s="12"/>
      <c r="D56" s="12"/>
      <c r="E56" s="12"/>
      <c r="F56" s="12"/>
      <c r="G56" s="12"/>
      <c r="H56" s="12"/>
      <c r="I56" s="12"/>
    </row>
    <row r="57" spans="1:9" ht="16.5">
      <c r="A57" s="12"/>
      <c r="B57" s="12"/>
      <c r="C57" s="12"/>
      <c r="D57" s="12"/>
      <c r="E57" s="12"/>
      <c r="F57" s="12"/>
      <c r="G57" s="12"/>
      <c r="H57" s="12"/>
      <c r="I57" s="12"/>
    </row>
    <row r="58" spans="1:9" ht="16.5">
      <c r="A58" s="12"/>
      <c r="B58" s="12"/>
      <c r="C58" s="12"/>
      <c r="D58" s="12"/>
      <c r="E58" s="12"/>
      <c r="F58" s="12"/>
      <c r="G58" s="12"/>
      <c r="H58" s="12"/>
      <c r="I58" s="12"/>
    </row>
    <row r="59" spans="1:9" ht="16.5">
      <c r="A59" s="12"/>
      <c r="B59" s="12"/>
      <c r="C59" s="12"/>
      <c r="D59" s="12"/>
      <c r="E59" s="12"/>
      <c r="F59" s="12"/>
      <c r="G59" s="12"/>
      <c r="H59" s="12"/>
      <c r="I59" s="12"/>
    </row>
    <row r="60" spans="1:9" ht="16.5">
      <c r="A60" s="12"/>
      <c r="B60" s="12"/>
      <c r="C60" s="12"/>
      <c r="D60" s="12" t="s">
        <v>0</v>
      </c>
      <c r="E60" s="12"/>
      <c r="F60" s="12"/>
      <c r="G60" s="12"/>
      <c r="H60" s="12"/>
      <c r="I60" s="12"/>
    </row>
    <row r="61" spans="1:9" ht="16.5">
      <c r="A61" s="12"/>
      <c r="B61" s="12"/>
      <c r="C61" s="12"/>
      <c r="D61" s="12" t="s">
        <v>0</v>
      </c>
      <c r="E61" s="12"/>
      <c r="F61" s="12"/>
      <c r="G61" s="12"/>
      <c r="H61" s="12"/>
      <c r="I61" s="12"/>
    </row>
    <row r="62" spans="1:9" ht="16.5">
      <c r="A62" s="12"/>
      <c r="B62" s="12"/>
      <c r="C62" s="12"/>
      <c r="D62" s="12"/>
      <c r="E62" s="12"/>
      <c r="F62" s="12"/>
      <c r="G62" s="12"/>
      <c r="H62" s="12"/>
      <c r="I62" s="12"/>
    </row>
    <row r="63" spans="1:9" ht="16.5">
      <c r="A63" s="12"/>
      <c r="B63" s="12"/>
      <c r="C63" s="12"/>
      <c r="D63" s="12"/>
      <c r="E63" s="12"/>
      <c r="F63" s="12"/>
      <c r="G63" s="12"/>
      <c r="H63" s="12"/>
      <c r="I63" s="12"/>
    </row>
    <row r="64" spans="1:9" ht="16.5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6.5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6.5">
      <c r="A66" s="12"/>
      <c r="B66" s="12"/>
      <c r="C66" s="12"/>
      <c r="D66" s="12"/>
      <c r="E66" s="12"/>
      <c r="F66" s="12"/>
      <c r="G66" s="12"/>
      <c r="H66" s="12"/>
      <c r="I66" s="12"/>
    </row>
    <row r="67" spans="1:9" ht="16.5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6.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6.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6.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.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6.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.5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6.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6.5">
      <c r="A75" s="12"/>
      <c r="B75" s="12"/>
      <c r="C75" s="12"/>
      <c r="D75" s="12"/>
      <c r="E75" s="12"/>
      <c r="F75" s="12"/>
      <c r="G75" s="12"/>
      <c r="H75" s="12"/>
      <c r="I75" s="12"/>
    </row>
    <row r="76" spans="1:9" ht="16.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16.5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16.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16.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16.5">
      <c r="A80" s="12"/>
      <c r="B80" s="12"/>
      <c r="C80" s="12"/>
      <c r="D80" s="12"/>
      <c r="E80" s="12"/>
      <c r="F80" s="12"/>
      <c r="G80" s="12"/>
      <c r="H80" s="12"/>
      <c r="I80" s="12"/>
    </row>
    <row r="81" spans="1:9" ht="16.5">
      <c r="A81" s="12"/>
      <c r="B81" s="12"/>
      <c r="C81" s="12"/>
      <c r="D81" s="12"/>
      <c r="E81" s="12"/>
      <c r="F81" s="12"/>
      <c r="G81" s="12"/>
      <c r="H81" s="12"/>
      <c r="I81" s="12"/>
    </row>
    <row r="82" spans="1:9" ht="16.5">
      <c r="A82" s="12"/>
      <c r="B82" s="12"/>
      <c r="C82" s="12"/>
      <c r="D82" s="12"/>
      <c r="E82" s="12"/>
      <c r="F82" s="12"/>
      <c r="G82" s="12"/>
      <c r="H82" s="12"/>
      <c r="I82" s="12"/>
    </row>
    <row r="83" spans="1:9" ht="16.5">
      <c r="A83" s="12"/>
      <c r="B83" s="12"/>
      <c r="C83" s="12"/>
      <c r="D83" s="12"/>
      <c r="E83" s="12"/>
      <c r="F83" s="12"/>
      <c r="G83" s="12"/>
      <c r="H83" s="12"/>
      <c r="I83" s="12"/>
    </row>
    <row r="84" spans="1:9" ht="16.5">
      <c r="A84" s="12"/>
      <c r="B84" s="12"/>
      <c r="C84" s="12"/>
      <c r="D84" s="12"/>
      <c r="E84" s="12"/>
      <c r="F84" s="12"/>
      <c r="G84" s="12"/>
      <c r="H84" s="12"/>
      <c r="I84" s="12"/>
    </row>
    <row r="85" spans="1:9" ht="16.5">
      <c r="A85" s="12"/>
      <c r="B85" s="12"/>
      <c r="C85" s="12"/>
      <c r="D85" s="12"/>
      <c r="E85" s="12"/>
      <c r="F85" s="12"/>
      <c r="G85" s="12"/>
      <c r="H85" s="12"/>
      <c r="I85" s="12"/>
    </row>
    <row r="86" spans="1:9" ht="16.5">
      <c r="A86" s="12"/>
      <c r="B86" s="12"/>
      <c r="C86" s="12"/>
      <c r="D86" s="12"/>
      <c r="E86" s="12"/>
      <c r="F86" s="12"/>
      <c r="G86" s="12"/>
      <c r="H86" s="12"/>
      <c r="I86" s="12"/>
    </row>
    <row r="87" spans="1:9" ht="16.5">
      <c r="A87" s="12"/>
      <c r="B87" s="12"/>
      <c r="C87" s="12"/>
      <c r="D87" s="12"/>
      <c r="E87" s="12"/>
      <c r="F87" s="12"/>
      <c r="G87" s="12"/>
      <c r="H87" s="12"/>
      <c r="I87" s="12"/>
    </row>
    <row r="88" spans="1:9" ht="16.5">
      <c r="A88" s="12"/>
      <c r="B88" s="12"/>
      <c r="C88" s="12"/>
      <c r="D88" s="12"/>
      <c r="E88" s="12"/>
      <c r="F88" s="12"/>
      <c r="G88" s="12"/>
      <c r="H88" s="12"/>
      <c r="I88" s="12"/>
    </row>
    <row r="89" spans="1:9" ht="16.5">
      <c r="A89" s="12"/>
      <c r="B89" s="12"/>
      <c r="C89" s="12"/>
      <c r="D89" s="12"/>
      <c r="E89" s="12"/>
      <c r="F89" s="12"/>
      <c r="G89" s="12"/>
      <c r="H89" s="12"/>
      <c r="I89" s="12"/>
    </row>
    <row r="90" spans="1:9" ht="16.5">
      <c r="A90" s="12"/>
      <c r="B90" s="12"/>
      <c r="C90" s="12"/>
      <c r="D90" s="12"/>
      <c r="E90" s="12"/>
      <c r="F90" s="12"/>
      <c r="G90" s="12"/>
      <c r="H90" s="12"/>
      <c r="I90" s="12"/>
    </row>
    <row r="91" spans="1:9" ht="16.5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16.5">
      <c r="A92" s="12"/>
      <c r="B92" s="12"/>
      <c r="C92" s="12"/>
      <c r="D92" s="12"/>
      <c r="E92" s="12"/>
      <c r="F92" s="12"/>
      <c r="G92" s="12"/>
      <c r="H92" s="12"/>
      <c r="I92" s="12"/>
    </row>
    <row r="93" spans="1:9" ht="16.5">
      <c r="A93" s="12"/>
      <c r="B93" s="12"/>
      <c r="C93" s="12"/>
      <c r="D93" s="12"/>
      <c r="E93" s="12"/>
      <c r="F93" s="12"/>
      <c r="G93" s="12"/>
      <c r="H93" s="12"/>
      <c r="I93" s="12"/>
    </row>
    <row r="94" spans="1:9" ht="16.5">
      <c r="A94" s="12"/>
      <c r="B94" s="12"/>
      <c r="C94" s="12"/>
      <c r="D94" s="12"/>
      <c r="E94" s="12"/>
      <c r="F94" s="12"/>
      <c r="G94" s="12"/>
      <c r="H94" s="12"/>
      <c r="I94" s="12"/>
    </row>
    <row r="95" spans="1:9" ht="16.5">
      <c r="A95" s="12"/>
      <c r="B95" s="12"/>
      <c r="C95" s="12"/>
      <c r="D95" s="12"/>
      <c r="E95" s="12"/>
      <c r="F95" s="12"/>
      <c r="G95" s="12"/>
      <c r="H95" s="12"/>
      <c r="I95" s="12"/>
    </row>
    <row r="96" spans="1:9" ht="16.5">
      <c r="A96" s="12"/>
      <c r="B96" s="12"/>
      <c r="C96" s="12"/>
      <c r="D96" s="12"/>
      <c r="E96" s="12"/>
      <c r="F96" s="12"/>
      <c r="G96" s="12"/>
      <c r="H96" s="12"/>
      <c r="I96" s="12"/>
    </row>
    <row r="97" spans="1:9" ht="16.5">
      <c r="A97" s="12"/>
      <c r="B97" s="12"/>
      <c r="C97" s="12"/>
      <c r="D97" s="12"/>
      <c r="E97" s="12"/>
      <c r="F97" s="12"/>
      <c r="G97" s="12"/>
      <c r="H97" s="12"/>
      <c r="I97" s="12"/>
    </row>
    <row r="98" spans="1:9" ht="16.5">
      <c r="A98" s="12"/>
      <c r="B98" s="12"/>
      <c r="C98" s="12"/>
      <c r="D98" s="12"/>
      <c r="E98" s="12"/>
      <c r="F98" s="12"/>
      <c r="G98" s="12"/>
      <c r="H98" s="12"/>
      <c r="I98" s="12"/>
    </row>
    <row r="99" spans="1:9" ht="16.5">
      <c r="A99" s="12"/>
      <c r="B99" s="12"/>
      <c r="C99" s="12"/>
      <c r="D99" s="12"/>
      <c r="E99" s="12"/>
      <c r="F99" s="12"/>
      <c r="G99" s="12"/>
      <c r="H99" s="12"/>
      <c r="I99" s="12"/>
    </row>
    <row r="100" spans="1:9" ht="16.5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 ht="16.5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ht="16.5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ht="16.5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ht="16.5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 ht="16.5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 ht="16.5">
      <c r="A106" s="12"/>
      <c r="B106" s="12"/>
      <c r="C106" s="12"/>
      <c r="D106" s="12"/>
      <c r="E106" s="12"/>
      <c r="F106" s="12"/>
      <c r="G106" s="12"/>
      <c r="H106" s="12"/>
      <c r="I106" s="12"/>
    </row>
  </sheetData>
  <pageMargins left="0.25" right="0.25" top="0.75" bottom="0.75" header="0.3" footer="0.3"/>
  <pageSetup scale="4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46"/>
  <sheetViews>
    <sheetView view="pageBreakPreview" zoomScale="70" zoomScaleNormal="80" zoomScaleSheetLayoutView="70" workbookViewId="0">
      <selection activeCell="H23" activeCellId="2" sqref="G6 H17 H23"/>
    </sheetView>
  </sheetViews>
  <sheetFormatPr defaultRowHeight="15"/>
  <cols>
    <col min="1" max="1" width="47.42578125" customWidth="1"/>
    <col min="2" max="2" width="10.85546875" bestFit="1" customWidth="1"/>
    <col min="3" max="3" width="19.140625" bestFit="1" customWidth="1"/>
    <col min="4" max="4" width="15.28515625" customWidth="1"/>
    <col min="5" max="5" width="27.140625" customWidth="1"/>
    <col min="6" max="6" width="22" customWidth="1"/>
    <col min="7" max="7" width="29.285156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4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7.25">
      <c r="A2" s="25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6.5">
      <c r="A3" s="26" t="s">
        <v>479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6.5">
      <c r="A4" s="26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thickBot="1">
      <c r="A5" s="12"/>
      <c r="B5" s="12"/>
      <c r="C5" s="12"/>
      <c r="D5" s="12"/>
      <c r="E5" s="12"/>
      <c r="F5" s="12"/>
      <c r="G5" s="12"/>
      <c r="H5" s="27"/>
      <c r="I5" s="12"/>
      <c r="J5" s="12"/>
      <c r="K5" s="12"/>
    </row>
    <row r="6" spans="1:11" ht="18" thickBot="1">
      <c r="A6" s="237" t="str">
        <f>+'S&amp;D'!A12</f>
        <v>Electric Wholesale (non-regulated) Power Generator</v>
      </c>
      <c r="B6" s="173"/>
      <c r="C6" s="12"/>
      <c r="D6" s="29"/>
      <c r="E6" s="29"/>
      <c r="F6" s="29"/>
      <c r="G6" s="467" t="s">
        <v>0</v>
      </c>
      <c r="H6" s="29"/>
      <c r="I6" s="12"/>
      <c r="J6" s="12"/>
      <c r="K6" s="12"/>
    </row>
    <row r="7" spans="1:11" ht="26.25">
      <c r="A7" s="30"/>
      <c r="B7" s="12"/>
      <c r="C7" s="12"/>
      <c r="D7" s="12"/>
      <c r="E7" s="12"/>
      <c r="F7" s="31" t="s">
        <v>367</v>
      </c>
      <c r="G7" s="12"/>
      <c r="H7" s="12"/>
      <c r="I7" s="12"/>
      <c r="J7" s="12"/>
      <c r="K7" s="12"/>
    </row>
    <row r="8" spans="1:11" ht="21" thickBot="1">
      <c r="A8" s="30"/>
      <c r="B8" s="12"/>
      <c r="C8" s="12"/>
      <c r="D8" s="29"/>
      <c r="E8" s="29"/>
      <c r="F8" s="32" t="s">
        <v>492</v>
      </c>
      <c r="G8" s="29"/>
      <c r="H8" s="29"/>
      <c r="I8" s="12"/>
      <c r="J8" s="12"/>
      <c r="K8" s="12"/>
    </row>
    <row r="9" spans="1:11" ht="17.25" thickBot="1">
      <c r="A9" s="33" t="s">
        <v>0</v>
      </c>
      <c r="B9" s="33" t="s">
        <v>0</v>
      </c>
      <c r="C9" s="33" t="s">
        <v>0</v>
      </c>
      <c r="D9" s="29"/>
      <c r="E9" s="33"/>
      <c r="F9" s="33" t="s">
        <v>0</v>
      </c>
      <c r="G9" s="33"/>
      <c r="H9" s="29"/>
      <c r="I9" s="29"/>
      <c r="J9" s="29"/>
      <c r="K9" s="12"/>
    </row>
    <row r="10" spans="1:11" ht="16.5">
      <c r="A10" s="34" t="s">
        <v>0</v>
      </c>
      <c r="B10" s="34" t="s">
        <v>3</v>
      </c>
      <c r="C10" s="34" t="s">
        <v>5</v>
      </c>
      <c r="D10" s="34" t="s">
        <v>166</v>
      </c>
      <c r="E10" s="34" t="s">
        <v>12</v>
      </c>
      <c r="F10" s="34" t="s">
        <v>178</v>
      </c>
      <c r="G10" s="34" t="s">
        <v>179</v>
      </c>
      <c r="H10" s="34" t="s">
        <v>179</v>
      </c>
      <c r="I10" s="34" t="s">
        <v>175</v>
      </c>
      <c r="J10" s="34" t="s">
        <v>175</v>
      </c>
      <c r="K10" s="12"/>
    </row>
    <row r="11" spans="1:11" ht="16.5">
      <c r="A11" s="34" t="s">
        <v>2</v>
      </c>
      <c r="B11" s="34" t="s">
        <v>4</v>
      </c>
      <c r="C11" s="34" t="s">
        <v>6</v>
      </c>
      <c r="D11" s="34" t="s">
        <v>207</v>
      </c>
      <c r="E11" s="34" t="s">
        <v>14</v>
      </c>
      <c r="F11" s="34" t="s">
        <v>348</v>
      </c>
      <c r="G11" s="34" t="s">
        <v>208</v>
      </c>
      <c r="H11" s="34" t="s">
        <v>209</v>
      </c>
      <c r="I11" s="34" t="s">
        <v>169</v>
      </c>
      <c r="J11" s="34" t="s">
        <v>173</v>
      </c>
      <c r="K11" s="12"/>
    </row>
    <row r="12" spans="1:11" ht="16.5">
      <c r="A12" s="34"/>
      <c r="B12" s="34"/>
      <c r="C12" s="34"/>
      <c r="D12" s="34"/>
      <c r="E12" s="34"/>
      <c r="F12" s="35" t="s">
        <v>0</v>
      </c>
      <c r="G12" s="35" t="s">
        <v>509</v>
      </c>
      <c r="H12" s="35" t="s">
        <v>509</v>
      </c>
      <c r="I12" s="34"/>
      <c r="J12" s="34"/>
      <c r="K12" s="12"/>
    </row>
    <row r="13" spans="1:11" ht="17.25" thickBot="1">
      <c r="A13" s="36" t="s">
        <v>0</v>
      </c>
      <c r="B13" s="37" t="s">
        <v>99</v>
      </c>
      <c r="C13" s="37" t="s">
        <v>100</v>
      </c>
      <c r="D13" s="37" t="s">
        <v>101</v>
      </c>
      <c r="E13" s="37" t="s">
        <v>102</v>
      </c>
      <c r="F13" s="37" t="s">
        <v>103</v>
      </c>
      <c r="G13" s="37" t="s">
        <v>104</v>
      </c>
      <c r="H13" s="37" t="s">
        <v>105</v>
      </c>
      <c r="I13" s="37" t="s">
        <v>176</v>
      </c>
      <c r="J13" s="37" t="s">
        <v>177</v>
      </c>
      <c r="K13" s="12"/>
    </row>
    <row r="14" spans="1:11" ht="16.5">
      <c r="A14" s="38" t="s">
        <v>7</v>
      </c>
      <c r="B14" s="38" t="s">
        <v>7</v>
      </c>
      <c r="C14" s="38" t="s">
        <v>7</v>
      </c>
      <c r="D14" s="39" t="s">
        <v>123</v>
      </c>
      <c r="E14" s="39"/>
      <c r="F14" s="38" t="s">
        <v>7</v>
      </c>
      <c r="G14" s="38" t="s">
        <v>7</v>
      </c>
      <c r="H14" s="38" t="s">
        <v>7</v>
      </c>
      <c r="I14" s="38" t="s">
        <v>0</v>
      </c>
      <c r="J14" s="38" t="s">
        <v>0</v>
      </c>
      <c r="K14" s="12"/>
    </row>
    <row r="15" spans="1:11" ht="16.5">
      <c r="A15" s="34"/>
      <c r="B15" s="34"/>
      <c r="C15" s="34"/>
      <c r="D15" s="34"/>
      <c r="E15" s="34"/>
      <c r="F15" s="34"/>
      <c r="G15" s="34"/>
      <c r="H15" s="12"/>
      <c r="I15" s="12"/>
      <c r="J15" s="12"/>
      <c r="K15" s="12"/>
    </row>
    <row r="16" spans="1:11" ht="16.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7.25">
      <c r="A17" s="43" t="str">
        <f>+'S&amp;D'!A22</f>
        <v>AES CORPORATION</v>
      </c>
      <c r="B17" s="34" t="str">
        <f>+'S&amp;D'!B22</f>
        <v>AES</v>
      </c>
      <c r="C17" s="34" t="str">
        <f>+'S&amp;D'!C22</f>
        <v>Power Electric</v>
      </c>
      <c r="D17" s="59">
        <f>+'S&amp;D'!G22</f>
        <v>9.42</v>
      </c>
      <c r="E17" s="60">
        <f>+'S&amp;D'!D38</f>
        <v>6708940739.3400002</v>
      </c>
      <c r="F17" s="53">
        <f>+'Dividends '!H16</f>
        <v>7.6433121019108277E-2</v>
      </c>
      <c r="G17" s="53">
        <v>0.04</v>
      </c>
      <c r="H17" s="471">
        <v>0.3</v>
      </c>
      <c r="I17" s="318">
        <f t="shared" ref="I17" si="0">+F17+G17</f>
        <v>0.11643312101910827</v>
      </c>
      <c r="J17" s="318">
        <f t="shared" ref="J17" si="1">+F17+H17</f>
        <v>0.37643312101910825</v>
      </c>
      <c r="K17" s="12"/>
    </row>
    <row r="18" spans="1:11" ht="17.25">
      <c r="A18" s="43" t="str">
        <f>+'S&amp;D'!A23</f>
        <v>DOMINION ENERGY INC</v>
      </c>
      <c r="B18" s="34" t="str">
        <f>+'S&amp;D'!B23</f>
        <v>D</v>
      </c>
      <c r="C18" s="34" t="str">
        <f>+'S&amp;D'!C23</f>
        <v>Electric - East</v>
      </c>
      <c r="D18" s="59">
        <f>+'S&amp;D'!G23</f>
        <v>58.59</v>
      </c>
      <c r="E18" s="60">
        <f>+'S&amp;D'!D39</f>
        <v>51500610000</v>
      </c>
      <c r="F18" s="53">
        <f>+'Dividends '!H17</f>
        <v>4.5570916538658468E-2</v>
      </c>
      <c r="G18" s="53">
        <v>5.0000000000000001E-3</v>
      </c>
      <c r="H18" s="53">
        <v>6.5000000000000002E-2</v>
      </c>
      <c r="I18" s="318">
        <f t="shared" ref="I18:I19" si="2">+F18+G18</f>
        <v>5.0570916538658466E-2</v>
      </c>
      <c r="J18" s="318">
        <f t="shared" ref="J18:J19" si="3">+F18+H18</f>
        <v>0.11057091653865847</v>
      </c>
      <c r="K18" s="12"/>
    </row>
    <row r="19" spans="1:11" ht="17.25">
      <c r="A19" s="43" t="str">
        <f>+'S&amp;D'!A24</f>
        <v>CONSTELLATION ENERGY GENERATION LLC</v>
      </c>
      <c r="B19" s="34" t="str">
        <f>+'S&amp;D'!B24</f>
        <v>CEG</v>
      </c>
      <c r="C19" s="34" t="str">
        <f>+'S&amp;D'!C24</f>
        <v>Power Electric</v>
      </c>
      <c r="D19" s="59">
        <f>+'S&amp;D'!G24</f>
        <v>353.27</v>
      </c>
      <c r="E19" s="60">
        <f>+'S&amp;D'!D40</f>
        <v>110220240000</v>
      </c>
      <c r="F19" s="53">
        <f>+'Dividends '!H18</f>
        <v>5.3217086081467435E-3</v>
      </c>
      <c r="G19" s="53">
        <v>0.13500000000000001</v>
      </c>
      <c r="H19" s="53">
        <v>0.19</v>
      </c>
      <c r="I19" s="318">
        <f t="shared" si="2"/>
        <v>0.14032170860814674</v>
      </c>
      <c r="J19" s="318">
        <f t="shared" si="3"/>
        <v>0.19532170860814674</v>
      </c>
      <c r="K19" s="12"/>
    </row>
    <row r="20" spans="1:11" ht="17.25">
      <c r="A20" s="43" t="str">
        <f>+'S&amp;D'!A25</f>
        <v>NEXTERA ENERGY INC</v>
      </c>
      <c r="B20" s="34" t="str">
        <f>+'S&amp;D'!B25</f>
        <v>NEE</v>
      </c>
      <c r="C20" s="34" t="str">
        <f>+'S&amp;D'!C25</f>
        <v>Electric - East</v>
      </c>
      <c r="D20" s="59">
        <f>+'S&amp;D'!G25</f>
        <v>80.28</v>
      </c>
      <c r="E20" s="60">
        <f>+'S&amp;D'!D41</f>
        <v>165135960000</v>
      </c>
      <c r="F20" s="53">
        <f>+'Dividends '!H19</f>
        <v>3.413054309915297E-2</v>
      </c>
      <c r="G20" s="53">
        <v>0.09</v>
      </c>
      <c r="H20" s="53">
        <v>0.08</v>
      </c>
      <c r="I20" s="318">
        <f t="shared" ref="I20:I21" si="4">+F20+G20</f>
        <v>0.12413054309915297</v>
      </c>
      <c r="J20" s="318">
        <f t="shared" ref="J20:J21" si="5">+F20+H20</f>
        <v>0.11413054309915296</v>
      </c>
      <c r="K20" s="12"/>
    </row>
    <row r="21" spans="1:11" ht="17.25">
      <c r="A21" s="43" t="str">
        <f>+'S&amp;D'!A26</f>
        <v>NRG ENERGY</v>
      </c>
      <c r="B21" s="34" t="str">
        <f>+'S&amp;D'!B26</f>
        <v>NRG</v>
      </c>
      <c r="C21" s="34" t="str">
        <f>+'S&amp;D'!C26</f>
        <v>Power Electric</v>
      </c>
      <c r="D21" s="59">
        <f>+'S&amp;D'!G26</f>
        <v>159.24</v>
      </c>
      <c r="E21" s="60">
        <f>+'S&amp;D'!D42</f>
        <v>30315570898.68</v>
      </c>
      <c r="F21" s="53">
        <f>+'Dividends '!H20</f>
        <v>1.2685254961065059E-2</v>
      </c>
      <c r="G21" s="53">
        <v>0.08</v>
      </c>
      <c r="H21" s="53">
        <v>0.2</v>
      </c>
      <c r="I21" s="318">
        <f t="shared" si="4"/>
        <v>9.2685254961065056E-2</v>
      </c>
      <c r="J21" s="318">
        <f t="shared" si="5"/>
        <v>0.21268525496106508</v>
      </c>
      <c r="K21" s="12"/>
    </row>
    <row r="22" spans="1:11" ht="17.25">
      <c r="A22" s="43" t="str">
        <f>+'S&amp;D'!A27</f>
        <v>SOUTHERN COMPANY</v>
      </c>
      <c r="B22" s="34" t="str">
        <f>+'S&amp;D'!B27</f>
        <v>SO</v>
      </c>
      <c r="C22" s="34" t="str">
        <f>+'S&amp;D'!C27</f>
        <v>Electric - East</v>
      </c>
      <c r="D22" s="59">
        <f>+'S&amp;D'!G27</f>
        <v>87.2</v>
      </c>
      <c r="E22" s="60">
        <f>+'S&amp;D'!D43</f>
        <v>95832800000</v>
      </c>
      <c r="F22" s="53">
        <f>+'Dividends '!H21</f>
        <v>3.6009174311926608E-2</v>
      </c>
      <c r="G22" s="53">
        <v>3.5000000000000003E-2</v>
      </c>
      <c r="H22" s="53">
        <v>6.5000000000000002E-2</v>
      </c>
      <c r="I22" s="318">
        <f>+F22+G22</f>
        <v>7.1009174311926604E-2</v>
      </c>
      <c r="J22" s="318">
        <f>+F22+H22</f>
        <v>0.1010091743119266</v>
      </c>
      <c r="K22" s="12"/>
    </row>
    <row r="23" spans="1:11" ht="18" thickBot="1">
      <c r="A23" s="43" t="str">
        <f>+'S&amp;D'!A28</f>
        <v>VISTRA ENERGY CORPORATION</v>
      </c>
      <c r="B23" s="34" t="str">
        <f>+'S&amp;D'!B28</f>
        <v>VST</v>
      </c>
      <c r="C23" s="34" t="str">
        <f>+'S&amp;D'!C28</f>
        <v>Power Electric</v>
      </c>
      <c r="D23" s="59">
        <f>+'S&amp;D'!G28</f>
        <v>161.33000000000001</v>
      </c>
      <c r="E23" s="60">
        <f>+'S&amp;D'!D44</f>
        <v>54539160914.550003</v>
      </c>
      <c r="F23" s="319">
        <f>+'Dividends '!H22</f>
        <v>6.1984751751069231E-3</v>
      </c>
      <c r="G23" s="319">
        <v>0.1</v>
      </c>
      <c r="H23" s="472">
        <v>0.32</v>
      </c>
      <c r="I23" s="320">
        <f>+F23+G23</f>
        <v>0.10619847517510693</v>
      </c>
      <c r="J23" s="320">
        <f>+F23+H23</f>
        <v>0.32619847517510692</v>
      </c>
      <c r="K23" s="12"/>
    </row>
    <row r="24" spans="1:11" ht="17.25" thickTop="1">
      <c r="A24" s="12"/>
      <c r="B24" s="12"/>
      <c r="C24" s="14" t="s">
        <v>0</v>
      </c>
      <c r="D24" s="15" t="s">
        <v>0</v>
      </c>
      <c r="E24" s="15" t="s">
        <v>51</v>
      </c>
      <c r="F24" s="372">
        <f>MAX(F17:F23)</f>
        <v>7.6433121019108277E-2</v>
      </c>
      <c r="G24" s="52">
        <f t="shared" ref="G24:J24" si="6">MAX(G17:G23)</f>
        <v>0.13500000000000001</v>
      </c>
      <c r="H24" s="265">
        <f t="shared" si="6"/>
        <v>0.32</v>
      </c>
      <c r="I24" s="265">
        <f t="shared" si="6"/>
        <v>0.14032170860814674</v>
      </c>
      <c r="J24" s="265">
        <f t="shared" si="6"/>
        <v>0.37643312101910825</v>
      </c>
      <c r="K24" s="12"/>
    </row>
    <row r="25" spans="1:11" ht="16.5">
      <c r="A25" s="12"/>
      <c r="B25" s="12"/>
      <c r="C25" s="14"/>
      <c r="D25" s="15"/>
      <c r="E25" s="15" t="s">
        <v>52</v>
      </c>
      <c r="F25" s="373">
        <f>MIN(F17:F23)</f>
        <v>5.3217086081467435E-3</v>
      </c>
      <c r="G25" s="261">
        <f t="shared" ref="G25:J25" si="7">MIN(G17:G23)</f>
        <v>5.0000000000000001E-3</v>
      </c>
      <c r="H25" s="266">
        <f t="shared" si="7"/>
        <v>6.5000000000000002E-2</v>
      </c>
      <c r="I25" s="266">
        <f t="shared" si="7"/>
        <v>5.0570916538658466E-2</v>
      </c>
      <c r="J25" s="266">
        <f t="shared" si="7"/>
        <v>0.1010091743119266</v>
      </c>
      <c r="K25" s="12"/>
    </row>
    <row r="26" spans="1:11" ht="16.5">
      <c r="A26" s="12"/>
      <c r="B26" s="12"/>
      <c r="D26" s="17" t="s">
        <v>0</v>
      </c>
      <c r="E26" s="14" t="s">
        <v>18</v>
      </c>
      <c r="F26" s="55">
        <f>MEDIAN(F17:F23)</f>
        <v>3.413054309915297E-2</v>
      </c>
      <c r="G26" s="49">
        <f>MEDIAN(G17:G23)</f>
        <v>0.08</v>
      </c>
      <c r="H26" s="49">
        <f>MEDIAN(H17:H23)</f>
        <v>0.19</v>
      </c>
      <c r="I26" s="50">
        <f>MEDIAN(I17:I23)</f>
        <v>0.10619847517510693</v>
      </c>
      <c r="J26" s="50">
        <f>MEDIAN(J17:J23)</f>
        <v>0.19532170860814674</v>
      </c>
      <c r="K26" s="12"/>
    </row>
    <row r="27" spans="1:11" ht="16.5">
      <c r="A27" s="12"/>
      <c r="B27" s="12"/>
      <c r="D27" s="21" t="s">
        <v>0</v>
      </c>
      <c r="E27" s="14" t="s">
        <v>375</v>
      </c>
      <c r="F27" s="55">
        <f>AVERAGE(F17:F23)</f>
        <v>3.0907027673309294E-2</v>
      </c>
      <c r="G27" s="55">
        <f>AVERAGE(G17:G23)</f>
        <v>6.9285714285714284E-2</v>
      </c>
      <c r="H27" s="49">
        <f>AVERAGE(H17:H23)</f>
        <v>0.17428571428571429</v>
      </c>
      <c r="I27" s="50">
        <f>AVERAGE(I17:I23)</f>
        <v>0.10019274195902357</v>
      </c>
      <c r="J27" s="50">
        <f>AVERAGE(J17:J23)</f>
        <v>0.20519274195902357</v>
      </c>
      <c r="K27" s="12"/>
    </row>
    <row r="28" spans="1:11" ht="16.5">
      <c r="A28" s="12"/>
      <c r="B28" s="12"/>
      <c r="C28" s="14"/>
      <c r="D28" s="21"/>
      <c r="E28" s="22"/>
      <c r="F28" s="18"/>
      <c r="G28" s="18"/>
      <c r="H28" s="19"/>
      <c r="I28" s="20"/>
      <c r="J28" s="20"/>
      <c r="K28" s="12"/>
    </row>
    <row r="29" spans="1:11" ht="17.25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27" thickBot="1">
      <c r="A30" s="12"/>
      <c r="B30" s="12"/>
      <c r="C30" s="12"/>
      <c r="D30" s="12"/>
      <c r="E30" s="12"/>
      <c r="F30" s="12"/>
      <c r="G30" s="170" t="s">
        <v>181</v>
      </c>
      <c r="H30" s="172"/>
      <c r="I30" s="333">
        <v>0.1002</v>
      </c>
      <c r="J30" s="12"/>
      <c r="K30" s="12"/>
    </row>
    <row r="31" spans="1:11" ht="17.25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27" thickBot="1">
      <c r="A32" s="12"/>
      <c r="B32" s="12"/>
      <c r="C32" s="12"/>
      <c r="D32" s="12"/>
      <c r="E32" s="12"/>
      <c r="F32" s="12"/>
      <c r="G32" s="170" t="s">
        <v>180</v>
      </c>
      <c r="H32" s="173"/>
      <c r="I32" s="333">
        <v>0.20519999999999999</v>
      </c>
      <c r="J32" s="12"/>
      <c r="K32" s="12"/>
    </row>
    <row r="33" spans="1:10" ht="16.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26.25">
      <c r="A34" s="24" t="s">
        <v>340</v>
      </c>
      <c r="B34" s="12"/>
      <c r="C34" s="24" t="s">
        <v>341</v>
      </c>
      <c r="D34" s="12"/>
      <c r="E34" s="12"/>
      <c r="F34" s="12"/>
      <c r="G34" s="12"/>
      <c r="H34" s="12"/>
      <c r="I34" s="12"/>
      <c r="J34" s="12"/>
    </row>
    <row r="35" spans="1:10" ht="17.25">
      <c r="A35" s="62" t="s">
        <v>342</v>
      </c>
      <c r="B35" s="12"/>
      <c r="C35" s="62" t="s">
        <v>342</v>
      </c>
      <c r="D35" s="12"/>
      <c r="E35" s="12"/>
      <c r="F35" s="12"/>
      <c r="G35" s="12"/>
      <c r="H35" s="12"/>
      <c r="I35" s="12"/>
      <c r="J35" s="12"/>
    </row>
    <row r="36" spans="1:10" ht="17.25">
      <c r="A36" s="62" t="s">
        <v>343</v>
      </c>
      <c r="B36" s="12"/>
      <c r="C36" s="62" t="s">
        <v>344</v>
      </c>
      <c r="D36" s="12"/>
      <c r="E36" s="12"/>
      <c r="F36" s="12"/>
      <c r="G36" s="12"/>
      <c r="H36" s="12"/>
      <c r="I36" s="12"/>
      <c r="J36" s="12"/>
    </row>
    <row r="37" spans="1:10" ht="16.5">
      <c r="A37" s="43"/>
      <c r="B37" s="12"/>
      <c r="C37" s="43"/>
      <c r="D37" s="12"/>
      <c r="E37" s="12"/>
      <c r="F37" s="12"/>
      <c r="G37" s="12"/>
      <c r="H37" s="12"/>
      <c r="I37" s="12"/>
      <c r="J37" s="12"/>
    </row>
    <row r="38" spans="1:10" ht="16.5">
      <c r="A38" s="43"/>
      <c r="B38" s="12"/>
      <c r="C38" s="43"/>
      <c r="D38" s="12"/>
      <c r="E38" s="12"/>
      <c r="F38" s="12"/>
      <c r="G38" s="12"/>
      <c r="H38" s="12"/>
      <c r="I38" s="12"/>
      <c r="J38" s="12"/>
    </row>
    <row r="39" spans="1:10" ht="26.25">
      <c r="A39" s="24" t="s">
        <v>204</v>
      </c>
      <c r="B39" s="12"/>
      <c r="C39" s="24" t="s">
        <v>204</v>
      </c>
      <c r="D39" s="12"/>
      <c r="E39" s="12"/>
      <c r="F39" s="12"/>
      <c r="G39" s="12"/>
      <c r="H39" s="12"/>
      <c r="I39" s="12"/>
      <c r="J39" s="12"/>
    </row>
    <row r="40" spans="1:10" ht="16.5">
      <c r="A40" s="43"/>
      <c r="B40" s="12"/>
      <c r="C40" s="43"/>
      <c r="D40" s="12"/>
      <c r="E40" s="12"/>
      <c r="F40" s="12"/>
      <c r="H40" s="12"/>
      <c r="I40" s="12"/>
      <c r="J40" s="12"/>
    </row>
    <row r="41" spans="1:10" ht="17.25">
      <c r="A41" s="62" t="s">
        <v>205</v>
      </c>
      <c r="B41" s="12"/>
      <c r="C41" s="62" t="s">
        <v>205</v>
      </c>
      <c r="D41" s="12"/>
      <c r="E41" s="12"/>
      <c r="F41" s="12"/>
      <c r="G41" s="12"/>
      <c r="H41" s="12"/>
      <c r="I41" s="12"/>
      <c r="J41" s="12"/>
    </row>
    <row r="42" spans="1:10" ht="17.25">
      <c r="A42" s="62" t="s">
        <v>203</v>
      </c>
      <c r="B42" s="12"/>
      <c r="C42" s="62" t="s">
        <v>203</v>
      </c>
      <c r="D42" s="12"/>
      <c r="E42" s="12"/>
      <c r="F42" s="12"/>
      <c r="G42" s="12"/>
      <c r="H42" s="12"/>
      <c r="I42" s="12"/>
      <c r="J42" s="12"/>
    </row>
    <row r="43" spans="1:10" ht="17.25">
      <c r="A43" s="62" t="s">
        <v>206</v>
      </c>
      <c r="B43" s="12"/>
      <c r="C43" s="62" t="s">
        <v>206</v>
      </c>
      <c r="D43" s="12"/>
      <c r="E43" s="12"/>
      <c r="F43" s="12"/>
      <c r="G43" s="12"/>
      <c r="H43" s="12"/>
      <c r="I43" s="12"/>
      <c r="J43" s="12"/>
    </row>
    <row r="44" spans="1:10" ht="17.25">
      <c r="A44" s="62" t="s">
        <v>345</v>
      </c>
      <c r="B44" s="12"/>
      <c r="C44" s="62" t="s">
        <v>346</v>
      </c>
      <c r="D44" s="12"/>
      <c r="E44" s="12"/>
      <c r="F44" s="12"/>
      <c r="G44" s="12"/>
      <c r="H44" s="12"/>
      <c r="I44" s="12"/>
      <c r="J44" s="12"/>
    </row>
    <row r="45" spans="1:10" ht="17.25">
      <c r="A45" s="62"/>
      <c r="B45" s="12"/>
      <c r="C45" s="62"/>
      <c r="D45" s="12"/>
      <c r="E45" s="12"/>
      <c r="F45" s="12"/>
      <c r="G45" s="12"/>
      <c r="H45" s="12"/>
      <c r="I45" s="12"/>
      <c r="J45" s="12"/>
    </row>
    <row r="46" spans="1:10" ht="17.25">
      <c r="A46" s="62"/>
      <c r="B46" s="12"/>
      <c r="C46" s="62"/>
      <c r="D46" s="12"/>
      <c r="E46" s="12"/>
      <c r="F46" s="12"/>
      <c r="G46" s="12"/>
      <c r="H46" s="12"/>
      <c r="I46" s="12"/>
      <c r="J46" s="12"/>
    </row>
  </sheetData>
  <phoneticPr fontId="81" type="noConversion"/>
  <pageMargins left="0.25" right="0.25" top="0.75" bottom="0.75" header="0.3" footer="0.3"/>
  <pageSetup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13"/>
  <sheetViews>
    <sheetView view="pageBreakPreview" topLeftCell="A6" zoomScale="70" zoomScaleNormal="80" zoomScaleSheetLayoutView="70" workbookViewId="0">
      <selection activeCell="E16" sqref="E16"/>
    </sheetView>
  </sheetViews>
  <sheetFormatPr defaultRowHeight="15"/>
  <cols>
    <col min="1" max="1" width="50.28515625" customWidth="1"/>
    <col min="2" max="2" width="16.7109375" customWidth="1"/>
    <col min="3" max="3" width="24.5703125" customWidth="1"/>
    <col min="4" max="4" width="26.5703125" customWidth="1"/>
    <col min="5" max="5" width="30.7109375" customWidth="1"/>
    <col min="6" max="6" width="22.42578125" customWidth="1"/>
    <col min="7" max="7" width="27" customWidth="1"/>
    <col min="8" max="8" width="43" customWidth="1"/>
    <col min="9" max="9" width="15.285156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4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7.25">
      <c r="A2" s="25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6.5">
      <c r="A3" s="26" t="s">
        <v>479</v>
      </c>
      <c r="B3" s="12"/>
      <c r="C3" s="12"/>
      <c r="D3" s="12"/>
      <c r="E3" s="12"/>
      <c r="F3" s="12"/>
      <c r="G3" s="12"/>
      <c r="H3" s="12"/>
      <c r="I3" s="12"/>
    </row>
    <row r="4" spans="1:9" ht="16.5">
      <c r="A4" s="26"/>
      <c r="B4" s="12"/>
      <c r="C4" s="12"/>
      <c r="D4" s="12"/>
      <c r="E4" s="12"/>
      <c r="F4" s="12"/>
      <c r="G4" s="12"/>
      <c r="H4" s="12"/>
      <c r="I4" s="12"/>
    </row>
    <row r="5" spans="1:9" ht="17.25" thickBot="1">
      <c r="A5" s="12"/>
      <c r="B5" s="12"/>
      <c r="C5" s="12"/>
      <c r="D5" s="12"/>
      <c r="E5" s="12"/>
      <c r="F5" s="12"/>
      <c r="G5" s="12"/>
      <c r="H5" s="12"/>
      <c r="I5" s="27"/>
    </row>
    <row r="6" spans="1:9" ht="21" thickBot="1">
      <c r="A6" s="235" t="str">
        <f>+'S&amp;D'!A12</f>
        <v>Electric Wholesale (non-regulated) Power Generator</v>
      </c>
      <c r="B6" s="173"/>
      <c r="C6" s="12"/>
      <c r="D6" s="12"/>
      <c r="E6" s="12"/>
      <c r="F6" s="12"/>
      <c r="G6" s="12"/>
      <c r="H6" s="12"/>
      <c r="I6" s="12"/>
    </row>
    <row r="7" spans="1:9" ht="20.25">
      <c r="A7" s="30"/>
      <c r="B7" s="12"/>
      <c r="C7" s="12"/>
      <c r="D7" s="12"/>
      <c r="E7" s="12"/>
      <c r="F7" s="12"/>
      <c r="G7" s="12"/>
      <c r="H7" s="12"/>
      <c r="I7" s="12"/>
    </row>
    <row r="8" spans="1:9" ht="21" thickBot="1">
      <c r="A8" s="30"/>
      <c r="B8" s="12"/>
      <c r="C8" s="12"/>
      <c r="D8" s="29"/>
      <c r="E8" s="29"/>
      <c r="F8" s="29"/>
      <c r="G8" s="12"/>
      <c r="H8" s="12"/>
      <c r="I8" s="12"/>
    </row>
    <row r="9" spans="1:9" ht="26.25">
      <c r="A9" s="30"/>
      <c r="B9" s="12"/>
      <c r="C9" s="12"/>
      <c r="D9" s="12"/>
      <c r="E9" s="31" t="s">
        <v>182</v>
      </c>
      <c r="F9" s="12"/>
      <c r="G9" s="12"/>
      <c r="H9" s="12"/>
      <c r="I9" s="12"/>
    </row>
    <row r="10" spans="1:9" ht="21" thickBot="1">
      <c r="A10" s="30"/>
      <c r="B10" s="12"/>
      <c r="C10" s="12"/>
      <c r="D10" s="29"/>
      <c r="E10" s="32" t="s">
        <v>492</v>
      </c>
      <c r="F10" s="29"/>
      <c r="G10" s="12"/>
      <c r="H10" s="12"/>
      <c r="I10" s="12"/>
    </row>
    <row r="11" spans="1:9" ht="20.25">
      <c r="A11" s="30"/>
      <c r="B11" s="12"/>
      <c r="C11" s="12"/>
      <c r="D11" s="12"/>
      <c r="E11" s="12"/>
      <c r="F11" s="34"/>
      <c r="G11" s="34"/>
      <c r="H11" s="12"/>
      <c r="I11" s="12"/>
    </row>
    <row r="12" spans="1:9" ht="20.25">
      <c r="A12" s="30"/>
      <c r="B12" s="12"/>
      <c r="C12" s="12"/>
      <c r="D12" s="12"/>
      <c r="E12" s="12"/>
      <c r="F12" s="34"/>
      <c r="G12" s="34"/>
      <c r="H12" s="12"/>
      <c r="I12" s="12"/>
    </row>
    <row r="13" spans="1:9" ht="45.75" customHeight="1" thickBot="1">
      <c r="A13" s="33" t="s">
        <v>0</v>
      </c>
      <c r="B13" s="33" t="s">
        <v>0</v>
      </c>
      <c r="C13" s="33" t="s">
        <v>0</v>
      </c>
      <c r="D13" s="29"/>
      <c r="E13" s="29"/>
      <c r="F13" s="33" t="s">
        <v>0</v>
      </c>
      <c r="G13" s="33"/>
      <c r="H13" s="33"/>
      <c r="I13" s="12"/>
    </row>
    <row r="14" spans="1:9" ht="16.5">
      <c r="A14" s="34" t="s">
        <v>0</v>
      </c>
      <c r="B14" s="34" t="s">
        <v>3</v>
      </c>
      <c r="C14" s="34" t="s">
        <v>5</v>
      </c>
      <c r="D14" s="34" t="s">
        <v>178</v>
      </c>
      <c r="E14" s="34" t="s">
        <v>179</v>
      </c>
      <c r="F14" s="34" t="s">
        <v>183</v>
      </c>
      <c r="G14" s="34" t="s">
        <v>19</v>
      </c>
      <c r="H14" s="34" t="s">
        <v>186</v>
      </c>
      <c r="I14" s="12"/>
    </row>
    <row r="15" spans="1:9" ht="16.5">
      <c r="A15" s="34" t="s">
        <v>2</v>
      </c>
      <c r="B15" s="34" t="s">
        <v>4</v>
      </c>
      <c r="C15" s="34" t="s">
        <v>6</v>
      </c>
      <c r="D15" s="34" t="s">
        <v>348</v>
      </c>
      <c r="E15" s="34" t="s">
        <v>185</v>
      </c>
      <c r="F15" s="34" t="s">
        <v>133</v>
      </c>
      <c r="G15" s="34" t="s">
        <v>184</v>
      </c>
      <c r="H15" s="34" t="s">
        <v>174</v>
      </c>
      <c r="I15" s="12"/>
    </row>
    <row r="16" spans="1:9" ht="16.5">
      <c r="A16" s="34"/>
      <c r="B16" s="34" t="s">
        <v>0</v>
      </c>
      <c r="C16" s="34" t="s">
        <v>0</v>
      </c>
      <c r="D16" s="34" t="s">
        <v>0</v>
      </c>
      <c r="E16" s="34" t="s">
        <v>184</v>
      </c>
      <c r="F16" s="35" t="s">
        <v>0</v>
      </c>
      <c r="G16" s="34" t="s">
        <v>190</v>
      </c>
      <c r="H16" s="35" t="s">
        <v>191</v>
      </c>
      <c r="I16" s="12"/>
    </row>
    <row r="17" spans="1:11" ht="18" customHeight="1" thickBot="1">
      <c r="A17" s="66" t="s">
        <v>0</v>
      </c>
      <c r="B17" s="37" t="s">
        <v>0</v>
      </c>
      <c r="C17" s="37" t="s">
        <v>0</v>
      </c>
      <c r="D17" s="32" t="s">
        <v>188</v>
      </c>
      <c r="E17" s="32" t="s">
        <v>189</v>
      </c>
      <c r="F17" s="32" t="s">
        <v>187</v>
      </c>
      <c r="G17" s="34" t="s">
        <v>104</v>
      </c>
      <c r="H17" s="142"/>
      <c r="I17" s="12"/>
    </row>
    <row r="18" spans="1:11" ht="16.5">
      <c r="A18" s="38" t="s">
        <v>0</v>
      </c>
      <c r="B18" s="38" t="s">
        <v>0</v>
      </c>
      <c r="C18" s="38" t="s">
        <v>0</v>
      </c>
      <c r="D18" s="38" t="s">
        <v>7</v>
      </c>
      <c r="E18" s="38" t="s">
        <v>7</v>
      </c>
      <c r="F18" s="38" t="s">
        <v>0</v>
      </c>
      <c r="G18" s="67" t="s">
        <v>0</v>
      </c>
      <c r="H18" s="38" t="s">
        <v>0</v>
      </c>
      <c r="I18" s="12"/>
    </row>
    <row r="19" spans="1:11" ht="16.5">
      <c r="A19" s="34"/>
      <c r="B19" s="34"/>
      <c r="C19" s="34"/>
      <c r="D19" s="34"/>
      <c r="E19" s="12"/>
      <c r="F19" s="34"/>
      <c r="G19" s="12"/>
      <c r="H19" s="12"/>
      <c r="I19" s="12"/>
      <c r="J19" t="s">
        <v>0</v>
      </c>
      <c r="K19" t="s">
        <v>0</v>
      </c>
    </row>
    <row r="20" spans="1:11" ht="16.5">
      <c r="A20" s="12"/>
      <c r="B20" s="12"/>
      <c r="C20" s="12"/>
      <c r="D20" s="12"/>
      <c r="E20" s="12"/>
      <c r="F20" s="12"/>
      <c r="G20" s="12"/>
      <c r="H20" s="12" t="s">
        <v>0</v>
      </c>
      <c r="I20" s="12"/>
      <c r="J20" t="s">
        <v>0</v>
      </c>
      <c r="K20" t="s">
        <v>0</v>
      </c>
    </row>
    <row r="21" spans="1:11" ht="17.25">
      <c r="A21" s="43" t="str">
        <f>+'S&amp;D'!A22</f>
        <v>AES CORPORATION</v>
      </c>
      <c r="B21" s="34" t="str">
        <f>+'S&amp;D'!B22</f>
        <v>AES</v>
      </c>
      <c r="C21" s="34" t="str">
        <f>+'S&amp;D'!C22</f>
        <v>Power Electric</v>
      </c>
      <c r="D21" s="65">
        <f>+'Dividends '!H16</f>
        <v>7.6433121019108277E-2</v>
      </c>
      <c r="E21" s="65">
        <f>+'Single Stage Div Growth Model'!H17</f>
        <v>0.3</v>
      </c>
      <c r="F21" s="175">
        <f>+'Growth &amp; Inflation Rates'!$F$56</f>
        <v>4.2900000000000001E-2</v>
      </c>
      <c r="G21" s="65">
        <f t="shared" ref="G21" si="0">(F21+E21)/2</f>
        <v>0.17144999999999999</v>
      </c>
      <c r="H21" s="65">
        <f t="shared" ref="H21:H26" si="1">D21*(1+(0.5*G21))+(0.67*E21)+(0.33*F21)</f>
        <v>0.29814235031847131</v>
      </c>
      <c r="I21" s="12"/>
      <c r="J21" t="s">
        <v>0</v>
      </c>
      <c r="K21" t="s">
        <v>0</v>
      </c>
    </row>
    <row r="22" spans="1:11" ht="17.25">
      <c r="A22" s="43" t="str">
        <f>+'S&amp;D'!A23</f>
        <v>DOMINION ENERGY INC</v>
      </c>
      <c r="B22" s="34" t="str">
        <f>+'S&amp;D'!B23</f>
        <v>D</v>
      </c>
      <c r="C22" s="34" t="str">
        <f>+'S&amp;D'!C23</f>
        <v>Electric - East</v>
      </c>
      <c r="D22" s="65">
        <f>+'Dividends '!H17</f>
        <v>4.5570916538658468E-2</v>
      </c>
      <c r="E22" s="65">
        <f>+'Single Stage Div Growth Model'!H18</f>
        <v>6.5000000000000002E-2</v>
      </c>
      <c r="F22" s="175">
        <f>+'Growth &amp; Inflation Rates'!$F$56</f>
        <v>4.2900000000000001E-2</v>
      </c>
      <c r="G22" s="65">
        <f t="shared" ref="G22:G26" si="2">(F22+E22)/2</f>
        <v>5.3949999999999998E-2</v>
      </c>
      <c r="H22" s="65">
        <f t="shared" si="1"/>
        <v>0.10450719201228878</v>
      </c>
      <c r="I22" s="12"/>
      <c r="J22" t="s">
        <v>0</v>
      </c>
      <c r="K22" t="s">
        <v>0</v>
      </c>
    </row>
    <row r="23" spans="1:11" ht="17.25">
      <c r="A23" s="43" t="str">
        <f>+'S&amp;D'!A24</f>
        <v>CONSTELLATION ENERGY GENERATION LLC</v>
      </c>
      <c r="B23" s="34" t="str">
        <f>+'S&amp;D'!B24</f>
        <v>CEG</v>
      </c>
      <c r="C23" s="34" t="str">
        <f>+'S&amp;D'!C24</f>
        <v>Power Electric</v>
      </c>
      <c r="D23" s="65">
        <f>+'Dividends '!H18</f>
        <v>5.3217086081467435E-3</v>
      </c>
      <c r="E23" s="65">
        <f>+'Single Stage Div Growth Model'!H19</f>
        <v>0.19</v>
      </c>
      <c r="F23" s="175">
        <f>+'Growth &amp; Inflation Rates'!$F$56</f>
        <v>4.2900000000000001E-2</v>
      </c>
      <c r="G23" s="65">
        <f t="shared" si="2"/>
        <v>0.11645</v>
      </c>
      <c r="H23" s="65">
        <f t="shared" si="1"/>
        <v>0.14708856509185608</v>
      </c>
      <c r="I23" s="12"/>
      <c r="J23" t="s">
        <v>0</v>
      </c>
      <c r="K23" t="s">
        <v>0</v>
      </c>
    </row>
    <row r="24" spans="1:11" ht="17.25">
      <c r="A24" s="43" t="str">
        <f>+'S&amp;D'!A25</f>
        <v>NEXTERA ENERGY INC</v>
      </c>
      <c r="B24" s="34" t="str">
        <f>+'S&amp;D'!B25</f>
        <v>NEE</v>
      </c>
      <c r="C24" s="34" t="str">
        <f>+'S&amp;D'!C25</f>
        <v>Electric - East</v>
      </c>
      <c r="D24" s="65">
        <f>+'Dividends '!H19</f>
        <v>3.413054309915297E-2</v>
      </c>
      <c r="E24" s="65">
        <f>+'Single Stage Div Growth Model'!H20</f>
        <v>0.08</v>
      </c>
      <c r="F24" s="175">
        <f>+'Growth &amp; Inflation Rates'!$F$56</f>
        <v>4.2900000000000001E-2</v>
      </c>
      <c r="G24" s="65">
        <f t="shared" ref="G24" si="3">(F24+E24)/2</f>
        <v>6.1450000000000005E-2</v>
      </c>
      <c r="H24" s="65">
        <f t="shared" ref="H24" si="4">D24*(1+(0.5*G24))+(0.67*E24)+(0.33*F24)</f>
        <v>0.10293620403587445</v>
      </c>
      <c r="I24" s="12"/>
    </row>
    <row r="25" spans="1:11" ht="17.25">
      <c r="A25" s="43" t="str">
        <f>+'S&amp;D'!A26</f>
        <v>NRG ENERGY</v>
      </c>
      <c r="B25" s="34" t="str">
        <f>+'S&amp;D'!B26</f>
        <v>NRG</v>
      </c>
      <c r="C25" s="34" t="str">
        <f>+'S&amp;D'!C26</f>
        <v>Power Electric</v>
      </c>
      <c r="D25" s="65">
        <f>+'Dividends '!H20</f>
        <v>1.2685254961065059E-2</v>
      </c>
      <c r="E25" s="65">
        <f>+'Single Stage Div Growth Model'!H21</f>
        <v>0.2</v>
      </c>
      <c r="F25" s="175">
        <f>+'Growth &amp; Inflation Rates'!$F$56</f>
        <v>4.2900000000000001E-2</v>
      </c>
      <c r="G25" s="65">
        <f t="shared" si="2"/>
        <v>0.12145</v>
      </c>
      <c r="H25" s="65">
        <f t="shared" si="1"/>
        <v>0.16161256706857574</v>
      </c>
      <c r="I25" s="12"/>
      <c r="J25" t="s">
        <v>0</v>
      </c>
      <c r="K25" t="s">
        <v>0</v>
      </c>
    </row>
    <row r="26" spans="1:11" ht="17.25">
      <c r="A26" s="43" t="str">
        <f>+'S&amp;D'!A27</f>
        <v>SOUTHERN COMPANY</v>
      </c>
      <c r="B26" s="34" t="str">
        <f>+'S&amp;D'!B27</f>
        <v>SO</v>
      </c>
      <c r="C26" s="34" t="str">
        <f>+'S&amp;D'!C27</f>
        <v>Electric - East</v>
      </c>
      <c r="D26" s="65">
        <f>+'Dividends '!H21</f>
        <v>3.6009174311926608E-2</v>
      </c>
      <c r="E26" s="65">
        <f>+'Single Stage Div Growth Model'!H22</f>
        <v>6.5000000000000002E-2</v>
      </c>
      <c r="F26" s="175">
        <f>+'Growth &amp; Inflation Rates'!$F$56</f>
        <v>4.2900000000000001E-2</v>
      </c>
      <c r="G26" s="65">
        <f t="shared" si="2"/>
        <v>5.3949999999999998E-2</v>
      </c>
      <c r="H26" s="65">
        <f t="shared" si="1"/>
        <v>9.4687521788990842E-2</v>
      </c>
      <c r="I26" s="12"/>
      <c r="J26" t="s">
        <v>0</v>
      </c>
      <c r="K26" t="s">
        <v>0</v>
      </c>
    </row>
    <row r="27" spans="1:11" ht="18" thickBot="1">
      <c r="A27" s="43" t="str">
        <f>+'S&amp;D'!A28</f>
        <v>VISTRA ENERGY CORPORATION</v>
      </c>
      <c r="B27" s="34" t="str">
        <f>+'S&amp;D'!B28</f>
        <v>VST</v>
      </c>
      <c r="C27" s="34" t="str">
        <f>+'S&amp;D'!C28</f>
        <v>Power Electric</v>
      </c>
      <c r="D27" s="65">
        <f>+'Dividends '!H22</f>
        <v>6.1984751751069231E-3</v>
      </c>
      <c r="E27" s="65">
        <f>+'Single Stage Div Growth Model'!H23</f>
        <v>0.32</v>
      </c>
      <c r="F27" s="175">
        <f>+'Growth &amp; Inflation Rates'!$F$56</f>
        <v>4.2900000000000001E-2</v>
      </c>
      <c r="G27" s="65">
        <f>(F27+E27)/2</f>
        <v>0.18145</v>
      </c>
      <c r="H27" s="448">
        <f t="shared" ref="H27" si="5">D27*(1+(0.5*G27))+(0.67*E27)+(0.33*F27)</f>
        <v>0.2353178318353685</v>
      </c>
      <c r="I27" s="12"/>
      <c r="J27" s="11" t="s">
        <v>0</v>
      </c>
      <c r="K27" t="s">
        <v>0</v>
      </c>
    </row>
    <row r="28" spans="1:11" ht="17.25" thickTop="1">
      <c r="A28" s="12"/>
      <c r="B28" s="12"/>
      <c r="C28" s="12"/>
      <c r="D28" s="12"/>
      <c r="E28" s="12"/>
      <c r="F28" s="12"/>
      <c r="G28" s="165" t="s">
        <v>51</v>
      </c>
      <c r="H28" s="55">
        <f>MAX(H21:H27)</f>
        <v>0.29814235031847131</v>
      </c>
      <c r="I28" s="12"/>
    </row>
    <row r="29" spans="1:11" ht="16.5">
      <c r="A29" s="12"/>
      <c r="B29" s="12"/>
      <c r="C29" s="14" t="s">
        <v>0</v>
      </c>
      <c r="D29" s="15" t="s">
        <v>0</v>
      </c>
      <c r="E29" s="15" t="s">
        <v>0</v>
      </c>
      <c r="F29" s="16" t="s">
        <v>0</v>
      </c>
      <c r="G29" s="16" t="s">
        <v>52</v>
      </c>
      <c r="H29" s="261">
        <f>MIN(H21:H27)</f>
        <v>9.4687521788990842E-2</v>
      </c>
      <c r="I29" s="12"/>
    </row>
    <row r="30" spans="1:11" ht="16.5">
      <c r="A30" s="12"/>
      <c r="B30" s="12"/>
      <c r="D30" s="55" t="s">
        <v>0</v>
      </c>
      <c r="E30" s="49" t="s">
        <v>0</v>
      </c>
      <c r="F30" s="49" t="s">
        <v>0</v>
      </c>
      <c r="G30" s="14" t="s">
        <v>18</v>
      </c>
      <c r="H30" s="50">
        <f>MEDIAN(H21:H27)</f>
        <v>0.14708856509185608</v>
      </c>
      <c r="I30" s="12"/>
    </row>
    <row r="31" spans="1:11" ht="16.5">
      <c r="A31" s="12"/>
      <c r="B31" s="12"/>
      <c r="D31" s="55" t="s">
        <v>0</v>
      </c>
      <c r="E31" s="49" t="s">
        <v>0</v>
      </c>
      <c r="F31" s="55" t="s">
        <v>0</v>
      </c>
      <c r="G31" s="14" t="s">
        <v>375</v>
      </c>
      <c r="H31" s="50">
        <f>AVERAGE(H21:H27)</f>
        <v>0.16347031887877511</v>
      </c>
      <c r="I31" s="12"/>
    </row>
    <row r="32" spans="1:11" ht="16.5">
      <c r="A32" s="12"/>
      <c r="B32" s="12"/>
      <c r="C32" s="14"/>
      <c r="D32" s="18"/>
      <c r="E32" s="19"/>
      <c r="F32" s="18"/>
      <c r="G32" s="20"/>
      <c r="H32" s="20"/>
      <c r="I32" s="12"/>
    </row>
    <row r="33" spans="1:9" ht="17.25" thickBot="1">
      <c r="A33" s="12"/>
      <c r="B33" s="12"/>
      <c r="C33" s="12"/>
      <c r="D33" s="12"/>
      <c r="E33" s="12"/>
      <c r="F33" s="12"/>
      <c r="G33" s="12"/>
      <c r="H33" s="12"/>
      <c r="I33" s="12"/>
    </row>
    <row r="34" spans="1:9" ht="27" thickBot="1">
      <c r="A34" s="12"/>
      <c r="B34" s="12"/>
      <c r="C34" s="12"/>
      <c r="D34" s="12"/>
      <c r="F34" s="170"/>
      <c r="G34" s="171" t="s">
        <v>236</v>
      </c>
      <c r="H34" s="290">
        <v>0.16350000000000001</v>
      </c>
      <c r="I34" s="12"/>
    </row>
    <row r="35" spans="1:9" ht="16.5">
      <c r="A35" s="12"/>
      <c r="B35" s="12"/>
      <c r="C35" s="12"/>
      <c r="D35" s="12"/>
      <c r="E35" s="12"/>
      <c r="F35" s="12"/>
      <c r="G35" s="12"/>
      <c r="H35" s="12"/>
      <c r="I35" s="12"/>
    </row>
    <row r="36" spans="1:9" ht="27">
      <c r="A36" s="24" t="s">
        <v>296</v>
      </c>
      <c r="B36" s="12"/>
      <c r="C36" s="12"/>
      <c r="D36" s="12"/>
      <c r="E36" s="12"/>
      <c r="F36" s="12"/>
      <c r="G36" s="23" t="s">
        <v>0</v>
      </c>
      <c r="H36" s="12"/>
      <c r="I36" s="12"/>
    </row>
    <row r="37" spans="1:9" ht="16.5">
      <c r="A37" s="43"/>
      <c r="B37" s="12"/>
      <c r="C37" s="12"/>
      <c r="D37" s="12"/>
      <c r="E37" s="12"/>
      <c r="F37" s="12"/>
      <c r="G37" s="12"/>
      <c r="H37" s="12"/>
      <c r="I37" s="12"/>
    </row>
    <row r="38" spans="1:9" ht="17.25">
      <c r="A38" s="62" t="s">
        <v>205</v>
      </c>
      <c r="B38" s="12"/>
      <c r="C38" s="12"/>
      <c r="D38" s="12"/>
      <c r="E38" s="12"/>
      <c r="F38" s="12"/>
      <c r="G38" s="12"/>
      <c r="H38" s="12"/>
      <c r="I38" s="12"/>
    </row>
    <row r="39" spans="1:9" ht="17.25">
      <c r="A39" s="62" t="s">
        <v>297</v>
      </c>
      <c r="B39" s="12"/>
      <c r="C39" s="12"/>
      <c r="D39" s="12"/>
      <c r="E39" s="12"/>
      <c r="F39" s="12"/>
      <c r="G39" s="12"/>
      <c r="H39" s="12"/>
      <c r="I39" s="12"/>
    </row>
    <row r="40" spans="1:9" ht="17.25">
      <c r="A40" s="62" t="s">
        <v>298</v>
      </c>
      <c r="B40" s="12"/>
      <c r="C40" s="12"/>
      <c r="D40" s="12"/>
      <c r="E40" s="12"/>
      <c r="F40" s="12"/>
      <c r="G40" s="12"/>
      <c r="H40" s="12"/>
      <c r="I40" s="12"/>
    </row>
    <row r="41" spans="1:9" ht="17.25">
      <c r="A41" s="62" t="s">
        <v>299</v>
      </c>
      <c r="B41" s="12"/>
      <c r="C41" s="12"/>
      <c r="D41" s="12"/>
      <c r="E41" s="12"/>
      <c r="F41" s="12"/>
      <c r="G41" s="12"/>
      <c r="H41" s="12"/>
      <c r="I41" s="12"/>
    </row>
    <row r="42" spans="1:9" ht="17.25">
      <c r="A42" s="62" t="s">
        <v>300</v>
      </c>
      <c r="B42" s="12"/>
      <c r="C42" s="12"/>
      <c r="D42" s="12"/>
      <c r="E42" s="12"/>
      <c r="F42" s="12"/>
      <c r="G42" s="12"/>
      <c r="H42" s="12"/>
      <c r="I42" s="12"/>
    </row>
    <row r="43" spans="1:9" ht="16.5">
      <c r="A43" s="12"/>
      <c r="B43" s="12"/>
      <c r="C43" s="12"/>
      <c r="D43" s="12"/>
      <c r="E43" s="12"/>
      <c r="F43" s="12"/>
      <c r="G43" s="12"/>
      <c r="H43" s="12"/>
      <c r="I43" s="12"/>
    </row>
    <row r="44" spans="1:9" ht="16.5">
      <c r="A44" s="43" t="s">
        <v>0</v>
      </c>
      <c r="B44" s="12"/>
      <c r="C44" s="12"/>
      <c r="D44" s="12"/>
      <c r="E44" s="12"/>
      <c r="F44" s="12"/>
      <c r="G44" s="12"/>
      <c r="H44" s="12"/>
      <c r="I44" s="12"/>
    </row>
    <row r="45" spans="1:9" ht="16.5">
      <c r="A45" s="43"/>
      <c r="B45" s="12"/>
      <c r="C45" s="12"/>
      <c r="D45" s="12"/>
      <c r="E45" s="12"/>
      <c r="F45" s="12"/>
      <c r="G45" s="12"/>
      <c r="H45" s="12"/>
      <c r="I45" s="12"/>
    </row>
    <row r="46" spans="1:9" ht="16.5">
      <c r="A46" s="12"/>
      <c r="B46" s="12"/>
      <c r="C46" s="12"/>
      <c r="D46" s="12"/>
      <c r="E46" s="12"/>
      <c r="F46" s="12"/>
      <c r="G46" s="12"/>
      <c r="H46" s="12"/>
      <c r="I46" s="12"/>
    </row>
    <row r="47" spans="1:9" ht="16.5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16.5">
      <c r="A48" s="12"/>
      <c r="B48" s="12"/>
      <c r="C48" s="12"/>
      <c r="D48" s="12"/>
      <c r="E48" s="12"/>
      <c r="F48" s="12"/>
      <c r="G48" s="12"/>
      <c r="H48" s="12"/>
      <c r="I48" s="12"/>
    </row>
    <row r="49" spans="1:9" ht="16.5">
      <c r="A49" s="12"/>
      <c r="B49" s="12"/>
      <c r="C49" s="12"/>
      <c r="D49" s="12"/>
      <c r="E49" s="12"/>
      <c r="F49" s="12"/>
      <c r="G49" s="12"/>
      <c r="H49" s="12"/>
      <c r="I49" s="12"/>
    </row>
    <row r="50" spans="1:9" ht="16.5">
      <c r="C50" s="12"/>
      <c r="D50" s="12"/>
      <c r="E50" s="12"/>
      <c r="F50" s="12"/>
      <c r="G50" s="12"/>
      <c r="H50" s="12"/>
      <c r="I50" s="12"/>
    </row>
    <row r="51" spans="1:9" ht="16.5">
      <c r="C51" s="12"/>
      <c r="D51" s="12"/>
      <c r="E51" s="12"/>
      <c r="F51" s="12"/>
      <c r="G51" s="12"/>
      <c r="H51" s="12"/>
      <c r="I51" s="12"/>
    </row>
    <row r="52" spans="1:9" ht="16.5">
      <c r="C52" s="12"/>
      <c r="D52" s="12"/>
      <c r="E52" s="12"/>
      <c r="F52" s="12"/>
      <c r="G52" s="12"/>
      <c r="H52" s="12"/>
      <c r="I52" s="12"/>
    </row>
    <row r="53" spans="1:9" ht="16.5">
      <c r="C53" s="12"/>
      <c r="D53" s="12"/>
      <c r="E53" s="12"/>
      <c r="F53" s="12"/>
      <c r="G53" s="12"/>
      <c r="H53" s="12"/>
      <c r="I53" s="12"/>
    </row>
    <row r="54" spans="1:9" ht="16.5">
      <c r="C54" s="12"/>
      <c r="D54" s="12"/>
      <c r="E54" s="12"/>
      <c r="F54" s="12"/>
      <c r="G54" s="12"/>
      <c r="H54" s="12"/>
      <c r="I54" s="12"/>
    </row>
    <row r="55" spans="1:9" ht="16.5">
      <c r="C55" s="12"/>
      <c r="D55" s="12"/>
      <c r="E55" s="12"/>
      <c r="F55" s="12"/>
      <c r="G55" s="12"/>
      <c r="H55" s="12"/>
      <c r="I55" s="12"/>
    </row>
    <row r="56" spans="1:9" ht="16.5">
      <c r="C56" s="12"/>
      <c r="D56" s="12"/>
      <c r="E56" s="12"/>
      <c r="F56" s="12"/>
      <c r="G56" s="12"/>
      <c r="H56" s="12"/>
      <c r="I56" s="12"/>
    </row>
    <row r="57" spans="1:9" ht="16.5">
      <c r="A57" s="12"/>
      <c r="B57" s="12"/>
      <c r="C57" s="12"/>
      <c r="D57" s="12"/>
      <c r="E57" s="12"/>
      <c r="F57" s="12"/>
      <c r="G57" s="12"/>
      <c r="H57" s="12"/>
      <c r="I57" s="12"/>
    </row>
    <row r="58" spans="1:9" ht="16.5">
      <c r="A58" s="12"/>
      <c r="B58" s="12"/>
      <c r="C58" s="12"/>
      <c r="D58" s="12"/>
      <c r="E58" s="12"/>
      <c r="F58" s="12"/>
      <c r="G58" s="12"/>
      <c r="H58" s="12"/>
      <c r="I58" s="12"/>
    </row>
    <row r="59" spans="1:9" ht="16.5">
      <c r="A59" s="12"/>
      <c r="B59" s="12"/>
      <c r="C59" s="12"/>
      <c r="D59" s="12"/>
      <c r="E59" s="12"/>
      <c r="F59" s="12"/>
      <c r="G59" s="12"/>
      <c r="H59" s="12"/>
      <c r="I59" s="12"/>
    </row>
    <row r="60" spans="1:9" ht="16.5">
      <c r="A60" s="12"/>
      <c r="B60" s="12"/>
      <c r="C60" s="12"/>
      <c r="D60" s="12"/>
      <c r="E60" s="12"/>
      <c r="F60" s="12"/>
      <c r="G60" s="12"/>
      <c r="H60" s="12"/>
      <c r="I60" s="12"/>
    </row>
    <row r="61" spans="1:9" ht="16.5">
      <c r="A61" s="12"/>
      <c r="B61" s="12"/>
      <c r="C61" s="12"/>
      <c r="D61" s="12"/>
      <c r="E61" s="12"/>
      <c r="F61" s="12"/>
      <c r="G61" s="12"/>
      <c r="H61" s="12"/>
      <c r="I61" s="12"/>
    </row>
    <row r="62" spans="1:9" ht="16.5">
      <c r="A62" s="12"/>
      <c r="B62" s="12"/>
      <c r="C62" s="12"/>
      <c r="D62" s="12"/>
      <c r="E62" s="12"/>
      <c r="F62" s="12"/>
      <c r="G62" s="12"/>
      <c r="H62" s="12"/>
      <c r="I62" s="12"/>
    </row>
    <row r="63" spans="1:9" ht="16.5">
      <c r="A63" s="12"/>
      <c r="B63" s="12"/>
      <c r="C63" s="12"/>
      <c r="D63" s="12"/>
      <c r="E63" s="12"/>
      <c r="F63" s="12"/>
      <c r="G63" s="12"/>
      <c r="H63" s="12"/>
      <c r="I63" s="12"/>
    </row>
    <row r="64" spans="1:9" ht="16.5">
      <c r="A64" s="12"/>
      <c r="B64" s="12"/>
      <c r="C64" s="12"/>
      <c r="D64" s="12"/>
      <c r="E64" s="12"/>
      <c r="F64" s="12"/>
      <c r="G64" s="12"/>
      <c r="H64" s="12"/>
      <c r="I64" s="12"/>
    </row>
    <row r="65" spans="1:9" ht="16.5">
      <c r="A65" s="12"/>
      <c r="B65" s="12"/>
      <c r="C65" s="12"/>
      <c r="D65" s="12"/>
      <c r="E65" s="12"/>
      <c r="F65" s="12"/>
      <c r="G65" s="12"/>
      <c r="H65" s="12"/>
      <c r="I65" s="12"/>
    </row>
    <row r="66" spans="1:9" ht="16.5">
      <c r="A66" s="12"/>
      <c r="B66" s="12"/>
      <c r="C66" s="12"/>
      <c r="D66" s="12"/>
      <c r="E66" s="12"/>
      <c r="F66" s="12"/>
      <c r="G66" s="12"/>
      <c r="H66" s="12"/>
      <c r="I66" s="12"/>
    </row>
    <row r="67" spans="1:9" ht="16.5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16.5">
      <c r="A68" s="12"/>
      <c r="B68" s="12"/>
      <c r="C68" s="12"/>
      <c r="D68" s="12"/>
      <c r="E68" s="12"/>
      <c r="F68" s="12"/>
      <c r="G68" s="12"/>
      <c r="H68" s="12"/>
      <c r="I68" s="12"/>
    </row>
    <row r="69" spans="1:9" ht="16.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16.5">
      <c r="A70" s="12"/>
      <c r="B70" s="12"/>
      <c r="C70" s="12"/>
      <c r="D70" s="12"/>
      <c r="E70" s="12"/>
      <c r="F70" s="12"/>
      <c r="G70" s="12"/>
      <c r="H70" s="12"/>
      <c r="I70" s="12"/>
    </row>
    <row r="71" spans="1:9" ht="16.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16.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16.5">
      <c r="A73" s="12"/>
      <c r="B73" s="12"/>
      <c r="C73" s="12"/>
      <c r="D73" s="12"/>
      <c r="E73" s="12"/>
      <c r="F73" s="12"/>
      <c r="G73" s="12"/>
      <c r="H73" s="12"/>
      <c r="I73" s="12"/>
    </row>
    <row r="74" spans="1:9" ht="16.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16.5">
      <c r="A75" s="12"/>
      <c r="B75" s="12"/>
      <c r="C75" s="12"/>
      <c r="D75" s="12"/>
      <c r="E75" s="12"/>
      <c r="F75" s="12"/>
      <c r="G75" s="12"/>
      <c r="H75" s="12"/>
      <c r="I75" s="12"/>
    </row>
    <row r="76" spans="1:9" ht="16.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16.5">
      <c r="A77" s="12"/>
      <c r="B77" s="12"/>
      <c r="C77" s="12"/>
      <c r="D77" s="12"/>
      <c r="E77" s="12"/>
      <c r="F77" s="12"/>
      <c r="G77" s="12"/>
      <c r="H77" s="12"/>
      <c r="I77" s="12"/>
    </row>
    <row r="78" spans="1:9" ht="16.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16.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16.5">
      <c r="A80" s="12"/>
      <c r="B80" s="12"/>
      <c r="C80" s="12"/>
      <c r="D80" s="12"/>
      <c r="E80" s="12"/>
      <c r="F80" s="12"/>
      <c r="G80" s="12"/>
      <c r="H80" s="12"/>
      <c r="I80" s="12"/>
    </row>
    <row r="81" spans="1:9" ht="16.5">
      <c r="A81" s="12"/>
      <c r="B81" s="12"/>
      <c r="C81" s="12"/>
      <c r="D81" s="12"/>
      <c r="E81" s="12"/>
      <c r="F81" s="12"/>
      <c r="G81" s="12"/>
      <c r="H81" s="12"/>
      <c r="I81" s="12"/>
    </row>
    <row r="82" spans="1:9" ht="16.5">
      <c r="A82" s="12"/>
      <c r="B82" s="12"/>
      <c r="C82" s="12"/>
      <c r="D82" s="12"/>
      <c r="E82" s="12"/>
      <c r="F82" s="12"/>
      <c r="G82" s="12"/>
      <c r="H82" s="12"/>
      <c r="I82" s="12"/>
    </row>
    <row r="83" spans="1:9" ht="16.5">
      <c r="A83" s="12"/>
      <c r="B83" s="12"/>
      <c r="C83" s="12"/>
      <c r="D83" s="12"/>
      <c r="E83" s="12"/>
      <c r="F83" s="12"/>
      <c r="G83" s="12"/>
      <c r="H83" s="12"/>
      <c r="I83" s="12"/>
    </row>
    <row r="84" spans="1:9" ht="16.5">
      <c r="A84" s="12"/>
      <c r="B84" s="12"/>
      <c r="C84" s="12"/>
      <c r="D84" s="12"/>
      <c r="E84" s="12"/>
      <c r="F84" s="12"/>
      <c r="G84" s="12"/>
      <c r="H84" s="12"/>
      <c r="I84" s="12"/>
    </row>
    <row r="85" spans="1:9" ht="16.5">
      <c r="A85" s="12"/>
      <c r="B85" s="12"/>
      <c r="C85" s="12"/>
      <c r="D85" s="12"/>
      <c r="E85" s="12"/>
      <c r="F85" s="12"/>
      <c r="G85" s="12"/>
      <c r="H85" s="12"/>
      <c r="I85" s="12"/>
    </row>
    <row r="86" spans="1:9" ht="16.5">
      <c r="A86" s="12"/>
      <c r="B86" s="12"/>
      <c r="C86" s="12"/>
      <c r="D86" s="12"/>
      <c r="E86" s="12"/>
      <c r="F86" s="12"/>
      <c r="G86" s="12"/>
      <c r="H86" s="12"/>
      <c r="I86" s="12"/>
    </row>
    <row r="87" spans="1:9" ht="16.5">
      <c r="A87" s="12"/>
      <c r="B87" s="12"/>
      <c r="C87" s="12"/>
      <c r="D87" s="12"/>
      <c r="E87" s="12"/>
      <c r="F87" s="12"/>
      <c r="G87" s="12"/>
      <c r="H87" s="12"/>
      <c r="I87" s="12"/>
    </row>
    <row r="88" spans="1:9" ht="16.5">
      <c r="A88" s="12"/>
      <c r="B88" s="12"/>
      <c r="C88" s="12"/>
      <c r="D88" s="12"/>
      <c r="E88" s="12"/>
      <c r="F88" s="12"/>
      <c r="G88" s="12"/>
      <c r="H88" s="12"/>
      <c r="I88" s="12"/>
    </row>
    <row r="89" spans="1:9" ht="16.5">
      <c r="A89" s="12"/>
      <c r="B89" s="12"/>
      <c r="C89" s="12"/>
      <c r="D89" s="12"/>
      <c r="E89" s="12"/>
      <c r="F89" s="12"/>
      <c r="G89" s="12"/>
      <c r="H89" s="12"/>
      <c r="I89" s="12"/>
    </row>
    <row r="90" spans="1:9" ht="16.5">
      <c r="A90" s="12"/>
      <c r="B90" s="12"/>
      <c r="C90" s="12"/>
      <c r="D90" s="12"/>
      <c r="E90" s="12"/>
      <c r="F90" s="12"/>
      <c r="G90" s="12"/>
      <c r="H90" s="12"/>
      <c r="I90" s="12"/>
    </row>
    <row r="91" spans="1:9" ht="16.5">
      <c r="A91" s="12"/>
      <c r="B91" s="12"/>
      <c r="C91" s="12"/>
      <c r="D91" s="12"/>
      <c r="E91" s="12"/>
      <c r="F91" s="12"/>
      <c r="G91" s="12"/>
      <c r="H91" s="12"/>
      <c r="I91" s="12"/>
    </row>
    <row r="92" spans="1:9" ht="16.5">
      <c r="A92" s="12"/>
      <c r="B92" s="12"/>
      <c r="C92" s="12"/>
      <c r="D92" s="12"/>
      <c r="E92" s="12"/>
      <c r="F92" s="12"/>
      <c r="G92" s="12"/>
      <c r="H92" s="12"/>
      <c r="I92" s="12"/>
    </row>
    <row r="93" spans="1:9" ht="16.5">
      <c r="A93" s="12"/>
      <c r="B93" s="12"/>
      <c r="C93" s="12"/>
      <c r="D93" s="12"/>
      <c r="E93" s="12"/>
      <c r="F93" s="12"/>
      <c r="G93" s="12"/>
      <c r="H93" s="12"/>
      <c r="I93" s="12"/>
    </row>
    <row r="94" spans="1:9" ht="16.5">
      <c r="A94" s="12"/>
      <c r="B94" s="12"/>
      <c r="C94" s="12"/>
      <c r="D94" s="12"/>
      <c r="E94" s="12"/>
      <c r="F94" s="12"/>
      <c r="G94" s="12"/>
      <c r="H94" s="12"/>
      <c r="I94" s="12"/>
    </row>
    <row r="95" spans="1:9" ht="16.5">
      <c r="A95" s="12"/>
      <c r="B95" s="12"/>
      <c r="C95" s="12"/>
      <c r="D95" s="12"/>
      <c r="E95" s="12"/>
      <c r="F95" s="12"/>
      <c r="G95" s="12"/>
      <c r="H95" s="12"/>
      <c r="I95" s="12"/>
    </row>
    <row r="96" spans="1:9" ht="16.5">
      <c r="A96" s="12"/>
      <c r="B96" s="12"/>
      <c r="C96" s="12"/>
      <c r="D96" s="12"/>
      <c r="E96" s="12"/>
      <c r="F96" s="12"/>
      <c r="G96" s="12"/>
      <c r="H96" s="12"/>
      <c r="I96" s="12"/>
    </row>
    <row r="97" spans="1:9" ht="16.5">
      <c r="A97" s="12"/>
      <c r="B97" s="12"/>
      <c r="C97" s="12"/>
      <c r="D97" s="12"/>
      <c r="E97" s="12"/>
      <c r="F97" s="12"/>
      <c r="G97" s="12"/>
      <c r="H97" s="12"/>
      <c r="I97" s="12"/>
    </row>
    <row r="98" spans="1:9" ht="16.5">
      <c r="A98" s="12"/>
      <c r="B98" s="12"/>
      <c r="C98" s="12"/>
      <c r="D98" s="12"/>
      <c r="E98" s="12"/>
      <c r="F98" s="12"/>
      <c r="G98" s="12"/>
      <c r="H98" s="12"/>
      <c r="I98" s="12"/>
    </row>
    <row r="99" spans="1:9" ht="16.5">
      <c r="A99" s="12"/>
      <c r="B99" s="12"/>
      <c r="C99" s="12"/>
      <c r="D99" s="12"/>
      <c r="E99" s="12"/>
      <c r="F99" s="12"/>
      <c r="G99" s="12"/>
      <c r="H99" s="12"/>
      <c r="I99" s="12"/>
    </row>
    <row r="100" spans="1:9" ht="16.5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 ht="16.5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 ht="16.5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 ht="16.5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 ht="16.5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 ht="16.5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 ht="16.5">
      <c r="A106" s="12"/>
      <c r="B106" s="12"/>
      <c r="C106" s="12"/>
      <c r="D106" s="12"/>
      <c r="E106" s="12"/>
      <c r="F106" s="12"/>
      <c r="G106" s="12"/>
      <c r="H106" s="12"/>
      <c r="I106" s="12"/>
    </row>
    <row r="107" spans="1:9" ht="16.5">
      <c r="A107" s="12"/>
      <c r="B107" s="12"/>
      <c r="C107" s="12"/>
      <c r="D107" s="12"/>
      <c r="E107" s="12"/>
      <c r="F107" s="12"/>
      <c r="G107" s="12"/>
      <c r="H107" s="12"/>
      <c r="I107" s="12"/>
    </row>
    <row r="108" spans="1:9" ht="16.5">
      <c r="A108" s="12"/>
      <c r="B108" s="12"/>
      <c r="C108" s="12"/>
      <c r="D108" s="12"/>
      <c r="E108" s="12"/>
      <c r="F108" s="12"/>
      <c r="G108" s="12"/>
      <c r="H108" s="12"/>
      <c r="I108" s="12"/>
    </row>
    <row r="109" spans="1:9" ht="16.5">
      <c r="A109" s="12"/>
      <c r="B109" s="12"/>
      <c r="C109" s="12"/>
      <c r="D109" s="12"/>
      <c r="E109" s="12"/>
      <c r="F109" s="12"/>
      <c r="G109" s="12"/>
      <c r="H109" s="12"/>
      <c r="I109" s="12"/>
    </row>
    <row r="110" spans="1:9" ht="16.5">
      <c r="A110" s="12"/>
      <c r="B110" s="12"/>
      <c r="C110" s="12"/>
      <c r="D110" s="12"/>
      <c r="E110" s="12"/>
      <c r="F110" s="12"/>
      <c r="G110" s="12"/>
      <c r="H110" s="12"/>
      <c r="I110" s="12"/>
    </row>
    <row r="111" spans="1:9" ht="16.5">
      <c r="A111" s="12"/>
      <c r="B111" s="12"/>
      <c r="C111" s="12"/>
      <c r="D111" s="12"/>
      <c r="E111" s="12"/>
      <c r="F111" s="12"/>
      <c r="G111" s="12"/>
      <c r="H111" s="12"/>
      <c r="I111" s="12"/>
    </row>
    <row r="112" spans="1:9" ht="16.5">
      <c r="A112" s="12"/>
      <c r="B112" s="12"/>
      <c r="C112" s="12"/>
      <c r="D112" s="12"/>
      <c r="E112" s="12"/>
      <c r="F112" s="12"/>
      <c r="G112" s="12"/>
      <c r="H112" s="12"/>
      <c r="I112" s="12"/>
    </row>
    <row r="113" spans="1:9" ht="16.5">
      <c r="A113" s="12"/>
      <c r="B113" s="12"/>
      <c r="C113" s="12"/>
      <c r="D113" s="12"/>
      <c r="E113" s="12"/>
      <c r="F113" s="12"/>
      <c r="G113" s="12"/>
      <c r="H113" s="12"/>
      <c r="I113" s="12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9282-6164-4F23-8F00-A2369B6B55B2}">
  <sheetPr>
    <tabColor rgb="FF92D050"/>
  </sheetPr>
  <dimension ref="A1:N45"/>
  <sheetViews>
    <sheetView view="pageBreakPreview" zoomScale="70" zoomScaleNormal="80" zoomScaleSheetLayoutView="70" workbookViewId="0">
      <selection activeCell="E4" sqref="E4"/>
    </sheetView>
  </sheetViews>
  <sheetFormatPr defaultRowHeight="15"/>
  <cols>
    <col min="1" max="1" width="21.5703125" customWidth="1"/>
    <col min="2" max="2" width="38.42578125" customWidth="1"/>
    <col min="3" max="3" width="25" customWidth="1"/>
    <col min="4" max="4" width="28.85546875" customWidth="1"/>
    <col min="5" max="5" width="22.42578125" customWidth="1"/>
    <col min="6" max="6" width="22.7109375" customWidth="1"/>
    <col min="7" max="7" width="25" customWidth="1"/>
    <col min="8" max="8" width="26.7109375" customWidth="1"/>
    <col min="9" max="9" width="21.5703125" customWidth="1"/>
    <col min="10" max="10" width="21.28515625" customWidth="1"/>
    <col min="11" max="11" width="4.42578125" customWidth="1"/>
    <col min="12" max="12" width="22.7109375" customWidth="1"/>
    <col min="13" max="13" width="17.28515625" customWidth="1"/>
  </cols>
  <sheetData>
    <row r="1" spans="1:14" ht="26.25">
      <c r="A1" s="24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7.25">
      <c r="A2" s="62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6.5">
      <c r="A3" s="26" t="s">
        <v>479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6.5">
      <c r="A4" s="12"/>
      <c r="C4" s="12"/>
      <c r="D4" s="12"/>
      <c r="E4" s="469" t="s">
        <v>0</v>
      </c>
      <c r="F4" s="12"/>
      <c r="G4" s="12"/>
      <c r="H4" s="12"/>
      <c r="I4" s="12"/>
      <c r="J4" s="12"/>
      <c r="K4" s="12"/>
      <c r="L4" s="12"/>
      <c r="M4" s="12"/>
      <c r="N4" s="12"/>
    </row>
    <row r="5" spans="1:14" ht="18" thickBot="1">
      <c r="A5" s="6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21" thickBot="1">
      <c r="A6" s="235" t="str">
        <f>+'S&amp;D'!A12</f>
        <v>Electric Wholesale (non-regulated) Power Generator</v>
      </c>
      <c r="B6" s="258"/>
      <c r="C6" s="173"/>
      <c r="D6" s="12"/>
      <c r="E6" s="12"/>
      <c r="F6" s="12"/>
      <c r="G6" s="12"/>
      <c r="H6" s="12"/>
    </row>
    <row r="7" spans="1:14" ht="18" thickBot="1">
      <c r="A7" s="62"/>
      <c r="C7" s="29"/>
      <c r="D7" s="29"/>
      <c r="E7" s="29"/>
      <c r="F7" s="29"/>
      <c r="G7" s="29"/>
      <c r="H7" s="12"/>
    </row>
    <row r="8" spans="1:14" ht="26.25">
      <c r="C8" s="12"/>
      <c r="D8" s="12"/>
      <c r="E8" s="31" t="s">
        <v>328</v>
      </c>
      <c r="F8" s="12"/>
      <c r="G8" s="12"/>
      <c r="H8" s="12"/>
    </row>
    <row r="9" spans="1:14" ht="21" thickBot="1">
      <c r="B9" s="30"/>
      <c r="C9" s="29"/>
      <c r="D9" s="29"/>
      <c r="E9" s="32" t="s">
        <v>492</v>
      </c>
      <c r="F9" s="29"/>
      <c r="G9" s="29"/>
      <c r="H9" s="12"/>
    </row>
    <row r="10" spans="1:14" ht="17.25" thickBot="1">
      <c r="B10" s="33" t="s">
        <v>0</v>
      </c>
      <c r="C10" s="33" t="s">
        <v>0</v>
      </c>
      <c r="D10" s="33" t="s">
        <v>0</v>
      </c>
      <c r="E10" s="33" t="s">
        <v>0</v>
      </c>
      <c r="F10" s="33" t="s">
        <v>0</v>
      </c>
      <c r="G10" s="33" t="s">
        <v>0</v>
      </c>
      <c r="H10" s="29"/>
    </row>
    <row r="11" spans="1:14" ht="16.5">
      <c r="B11" s="34" t="s">
        <v>0</v>
      </c>
      <c r="C11" s="34" t="s">
        <v>3</v>
      </c>
      <c r="D11" s="34" t="s">
        <v>0</v>
      </c>
      <c r="E11" s="34" t="s">
        <v>329</v>
      </c>
      <c r="F11" s="34" t="s">
        <v>232</v>
      </c>
      <c r="G11" s="34" t="s">
        <v>330</v>
      </c>
      <c r="H11" s="34" t="s">
        <v>330</v>
      </c>
    </row>
    <row r="12" spans="1:14" ht="17.25" thickBot="1">
      <c r="B12" s="36" t="s">
        <v>2</v>
      </c>
      <c r="C12" s="36" t="s">
        <v>4</v>
      </c>
      <c r="D12" s="36" t="s">
        <v>27</v>
      </c>
      <c r="E12" s="36" t="s">
        <v>168</v>
      </c>
      <c r="F12" s="36" t="s">
        <v>331</v>
      </c>
      <c r="G12" s="36" t="s">
        <v>347</v>
      </c>
      <c r="H12" s="36" t="s">
        <v>28</v>
      </c>
    </row>
    <row r="13" spans="1:14">
      <c r="B13" s="38" t="s">
        <v>0</v>
      </c>
      <c r="C13" s="38" t="s">
        <v>0</v>
      </c>
      <c r="D13" s="39" t="s">
        <v>123</v>
      </c>
      <c r="E13" s="38" t="s">
        <v>124</v>
      </c>
      <c r="F13" s="38" t="s">
        <v>0</v>
      </c>
      <c r="G13" s="38" t="s">
        <v>124</v>
      </c>
      <c r="H13" s="38" t="s">
        <v>0</v>
      </c>
    </row>
    <row r="14" spans="1:14" ht="16.5">
      <c r="B14" s="34"/>
      <c r="C14" s="34"/>
      <c r="D14" s="34"/>
      <c r="E14" s="34"/>
      <c r="F14" s="34"/>
      <c r="G14" s="34"/>
      <c r="H14" s="34"/>
    </row>
    <row r="15" spans="1:14" ht="16.5">
      <c r="B15" s="12"/>
      <c r="C15" s="12"/>
      <c r="D15" s="12"/>
      <c r="E15" s="12"/>
      <c r="F15" s="12"/>
      <c r="G15" s="12"/>
      <c r="H15" s="12"/>
    </row>
    <row r="16" spans="1:14" ht="17.25">
      <c r="B16" s="62" t="str">
        <f>+'S&amp;D'!A22</f>
        <v>AES CORPORATION</v>
      </c>
      <c r="C16" s="89" t="str">
        <f>+'S&amp;D'!B22</f>
        <v>AES</v>
      </c>
      <c r="D16" s="164">
        <f>+'S&amp;D'!G22</f>
        <v>9.42</v>
      </c>
      <c r="E16" s="264">
        <v>17.7</v>
      </c>
      <c r="F16" s="71">
        <f>D16/E16</f>
        <v>0.53220338983050852</v>
      </c>
      <c r="G16" s="264">
        <v>5.45</v>
      </c>
      <c r="H16" s="296">
        <f>D16/G16</f>
        <v>1.728440366972477</v>
      </c>
    </row>
    <row r="17" spans="1:8" ht="17.25">
      <c r="B17" s="62" t="str">
        <f>+'S&amp;D'!A23</f>
        <v>DOMINION ENERGY INC</v>
      </c>
      <c r="C17" s="89" t="str">
        <f>+'S&amp;D'!B23</f>
        <v>D</v>
      </c>
      <c r="D17" s="164">
        <f>+'S&amp;D'!G23</f>
        <v>58.59</v>
      </c>
      <c r="E17" s="264">
        <v>19.7</v>
      </c>
      <c r="F17" s="296">
        <f t="shared" ref="F17:F21" si="0">D17/E17</f>
        <v>2.9741116751269039</v>
      </c>
      <c r="G17" s="264">
        <v>33.1</v>
      </c>
      <c r="H17" s="71">
        <f t="shared" ref="H17:H22" si="1">D17/G17</f>
        <v>1.7700906344410876</v>
      </c>
    </row>
    <row r="18" spans="1:8" ht="17.25">
      <c r="B18" s="62" t="str">
        <f>+'S&amp;D'!A24</f>
        <v>CONSTELLATION ENERGY GENERATION LLC</v>
      </c>
      <c r="C18" s="89" t="str">
        <f>+'S&amp;D'!B24</f>
        <v>CEG</v>
      </c>
      <c r="D18" s="164">
        <f>+'S&amp;D'!G24</f>
        <v>353.27</v>
      </c>
      <c r="E18" s="264">
        <v>99.75</v>
      </c>
      <c r="F18" s="71">
        <f t="shared" si="0"/>
        <v>3.5415538847117793</v>
      </c>
      <c r="G18" s="264">
        <v>83.05</v>
      </c>
      <c r="H18" s="71">
        <f t="shared" si="1"/>
        <v>4.2537025888019269</v>
      </c>
    </row>
    <row r="19" spans="1:8" ht="17.25">
      <c r="B19" s="62" t="str">
        <f>+'S&amp;D'!A25</f>
        <v>NEXTERA ENERGY INC</v>
      </c>
      <c r="C19" s="89" t="str">
        <f>+'S&amp;D'!B25</f>
        <v>NEE</v>
      </c>
      <c r="D19" s="164">
        <f>+'S&amp;D'!G25</f>
        <v>80.28</v>
      </c>
      <c r="E19" s="264">
        <v>14.75</v>
      </c>
      <c r="F19" s="71">
        <f>D19/E19</f>
        <v>5.44271186440678</v>
      </c>
      <c r="G19" s="264">
        <v>28.25</v>
      </c>
      <c r="H19" s="71">
        <f t="shared" ref="H19" si="2">D19/G19</f>
        <v>2.841769911504425</v>
      </c>
    </row>
    <row r="20" spans="1:8" ht="17.25">
      <c r="B20" s="62" t="str">
        <f>+'S&amp;D'!A26</f>
        <v>NRG ENERGY</v>
      </c>
      <c r="C20" s="89" t="str">
        <f>+'S&amp;D'!B26</f>
        <v>NRG</v>
      </c>
      <c r="D20" s="164">
        <f>+'S&amp;D'!G26</f>
        <v>159.24</v>
      </c>
      <c r="E20" s="264">
        <v>159</v>
      </c>
      <c r="F20" s="71">
        <f>D20/E20</f>
        <v>1.0015094339622641</v>
      </c>
      <c r="G20" s="264">
        <v>9.15</v>
      </c>
      <c r="H20" s="71">
        <f t="shared" si="1"/>
        <v>17.40327868852459</v>
      </c>
    </row>
    <row r="21" spans="1:8" ht="17.25">
      <c r="B21" s="62" t="str">
        <f>+'S&amp;D'!A27</f>
        <v>SOUTHERN COMPANY</v>
      </c>
      <c r="C21" s="89" t="str">
        <f>+'S&amp;D'!B27</f>
        <v>SO</v>
      </c>
      <c r="D21" s="164">
        <f>+'S&amp;D'!G27</f>
        <v>87.2</v>
      </c>
      <c r="E21" s="264">
        <v>27.1</v>
      </c>
      <c r="F21" s="71">
        <f t="shared" si="0"/>
        <v>3.2177121771217712</v>
      </c>
      <c r="G21" s="264">
        <v>31.9</v>
      </c>
      <c r="H21" s="71">
        <f t="shared" si="1"/>
        <v>2.7335423197492164</v>
      </c>
    </row>
    <row r="22" spans="1:8" ht="17.25">
      <c r="B22" s="62" t="str">
        <f>+'S&amp;D'!A28</f>
        <v>VISTRA ENERGY CORPORATION</v>
      </c>
      <c r="C22" s="89" t="str">
        <f>+'S&amp;D'!B28</f>
        <v>VST</v>
      </c>
      <c r="D22" s="164">
        <f>+'S&amp;D'!G28</f>
        <v>161.33000000000001</v>
      </c>
      <c r="E22" s="264">
        <v>72.55</v>
      </c>
      <c r="F22" s="71">
        <f t="shared" ref="F22" si="3">D22/E22</f>
        <v>2.2237077877325984</v>
      </c>
      <c r="G22" s="264">
        <v>18.25</v>
      </c>
      <c r="H22" s="71">
        <f t="shared" si="1"/>
        <v>8.84</v>
      </c>
    </row>
    <row r="23" spans="1:8" ht="10.5" customHeight="1" thickBot="1">
      <c r="B23" s="12"/>
      <c r="C23" s="70"/>
      <c r="D23" s="70"/>
      <c r="E23" s="70"/>
      <c r="F23" s="70"/>
      <c r="G23" s="70"/>
      <c r="H23" s="70"/>
    </row>
    <row r="24" spans="1:8" ht="17.25" thickTop="1">
      <c r="B24" s="12"/>
      <c r="D24" s="14" t="s">
        <v>51</v>
      </c>
      <c r="E24" s="16">
        <f>MAX(E16:E22)</f>
        <v>159</v>
      </c>
      <c r="F24" s="270">
        <f t="shared" ref="F24:H24" si="4">MAX(F16:F22)</f>
        <v>5.44271186440678</v>
      </c>
      <c r="G24" s="16">
        <f t="shared" si="4"/>
        <v>83.05</v>
      </c>
      <c r="H24" s="16">
        <f t="shared" si="4"/>
        <v>17.40327868852459</v>
      </c>
    </row>
    <row r="25" spans="1:8" ht="16.5">
      <c r="B25" s="12"/>
      <c r="D25" s="14" t="s">
        <v>52</v>
      </c>
      <c r="E25" s="289">
        <f>MIN(E16:E22)</f>
        <v>14.75</v>
      </c>
      <c r="F25" s="273">
        <f t="shared" ref="F25:H25" si="5">MIN(F16:F22)</f>
        <v>0.53220338983050852</v>
      </c>
      <c r="G25" s="289">
        <f t="shared" si="5"/>
        <v>5.45</v>
      </c>
      <c r="H25" s="289">
        <f t="shared" si="5"/>
        <v>1.728440366972477</v>
      </c>
    </row>
    <row r="26" spans="1:8" ht="16.5">
      <c r="B26" s="12"/>
      <c r="D26" s="14" t="s">
        <v>18</v>
      </c>
      <c r="E26" s="56" t="s">
        <v>0</v>
      </c>
      <c r="F26" s="21">
        <f>MEDIAN(F16:F22)</f>
        <v>2.9741116751269039</v>
      </c>
      <c r="G26" s="56" t="s">
        <v>0</v>
      </c>
      <c r="H26" s="21">
        <f>MEDIAN(H16:H22)</f>
        <v>2.841769911504425</v>
      </c>
    </row>
    <row r="27" spans="1:8" ht="16.5">
      <c r="B27" s="12"/>
      <c r="D27" s="14" t="s">
        <v>375</v>
      </c>
      <c r="E27" s="72" t="s">
        <v>0</v>
      </c>
      <c r="F27" s="21">
        <f>AVERAGE(F16:F22)</f>
        <v>2.7047871732703723</v>
      </c>
      <c r="G27" s="72" t="s">
        <v>0</v>
      </c>
      <c r="H27" s="21">
        <f>AVERAGE(H16:H22)</f>
        <v>5.652974929999103</v>
      </c>
    </row>
    <row r="28" spans="1:8" ht="17.25" thickBot="1">
      <c r="B28" s="12"/>
      <c r="C28" s="12"/>
      <c r="D28" s="12"/>
      <c r="E28" s="12"/>
      <c r="F28" s="12"/>
      <c r="G28" s="12"/>
      <c r="H28" s="12"/>
    </row>
    <row r="29" spans="1:8" ht="27" thickBot="1">
      <c r="B29" s="74" t="s">
        <v>0</v>
      </c>
      <c r="C29" s="12"/>
      <c r="D29" s="24" t="s">
        <v>129</v>
      </c>
      <c r="E29" s="24"/>
      <c r="F29" s="334">
        <v>2.7</v>
      </c>
      <c r="G29" s="291"/>
      <c r="H29" s="334">
        <v>5.65</v>
      </c>
    </row>
    <row r="30" spans="1:8" ht="16.5">
      <c r="B30" s="74" t="s">
        <v>0</v>
      </c>
      <c r="C30" s="12"/>
      <c r="D30" s="12"/>
      <c r="E30" s="12"/>
      <c r="F30" s="12"/>
      <c r="G30" s="12"/>
      <c r="H30" s="12"/>
    </row>
    <row r="31" spans="1:8" ht="16.5">
      <c r="B31" s="74"/>
      <c r="C31" s="12"/>
      <c r="D31" s="12"/>
      <c r="E31" s="12"/>
      <c r="F31" s="12"/>
      <c r="G31" s="12"/>
      <c r="H31" s="12"/>
    </row>
    <row r="32" spans="1:8" ht="17.25">
      <c r="A32" s="108" t="s">
        <v>332</v>
      </c>
      <c r="B32" s="74"/>
      <c r="C32" s="12"/>
      <c r="D32" s="12"/>
      <c r="E32" s="12"/>
      <c r="F32" s="12"/>
      <c r="G32" s="12"/>
      <c r="H32" s="12"/>
    </row>
    <row r="33" spans="1:8" ht="17.25">
      <c r="A33" s="108" t="s">
        <v>333</v>
      </c>
      <c r="B33" s="74"/>
      <c r="C33" s="12"/>
      <c r="D33" s="12"/>
      <c r="E33" s="12"/>
      <c r="F33" s="12"/>
      <c r="G33" s="12"/>
      <c r="H33" s="12"/>
    </row>
    <row r="34" spans="1:8" ht="16.5">
      <c r="H34" s="12"/>
    </row>
    <row r="35" spans="1:8" ht="17.25">
      <c r="A35" s="108" t="s">
        <v>334</v>
      </c>
      <c r="H35" s="12"/>
    </row>
    <row r="36" spans="1:8" ht="17.25">
      <c r="A36" s="108" t="s">
        <v>335</v>
      </c>
    </row>
    <row r="37" spans="1:8" ht="17.25">
      <c r="A37" s="108" t="s">
        <v>336</v>
      </c>
    </row>
    <row r="43" spans="1:8" ht="17.25">
      <c r="A43" s="108"/>
      <c r="C43" s="245" t="s">
        <v>0</v>
      </c>
    </row>
    <row r="44" spans="1:8" ht="17.25">
      <c r="C44" s="245" t="s">
        <v>0</v>
      </c>
    </row>
    <row r="45" spans="1:8" ht="17.25">
      <c r="C45" s="245" t="s">
        <v>0</v>
      </c>
    </row>
  </sheetData>
  <pageMargins left="0.25" right="0.25" top="0.75" bottom="0.75" header="0.3" footer="0.3"/>
  <pageSetup scale="45" orientation="landscape" r:id="rId1"/>
  <rowBreaks count="1" manualBreakCount="1">
    <brk id="38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topLeftCell="F1" workbookViewId="0">
      <selection activeCell="P1" sqref="P1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5359E9-4804-4E6A-8EEB-F25EE1738990}"/>
</file>

<file path=customXml/itemProps2.xml><?xml version="1.0" encoding="utf-8"?>
<ds:datastoreItem xmlns:ds="http://schemas.openxmlformats.org/officeDocument/2006/customXml" ds:itemID="{D838110D-21E1-46BB-BE71-6C468E6EBED9}"/>
</file>

<file path=customXml/itemProps3.xml><?xml version="1.0" encoding="utf-8"?>
<ds:datastoreItem xmlns:ds="http://schemas.openxmlformats.org/officeDocument/2006/customXml" ds:itemID="{9E666750-3171-4B46-AA2E-6CE3DF224F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Earnings</vt:lpstr>
      <vt:lpstr>Dividends </vt:lpstr>
      <vt:lpstr>Debt</vt:lpstr>
      <vt:lpstr>Direct GCF</vt:lpstr>
      <vt:lpstr>Direct NOPAT</vt:lpstr>
      <vt:lpstr>CAPM</vt:lpstr>
      <vt:lpstr>Growth &amp; Inflation Rates</vt:lpstr>
      <vt:lpstr>Indicated Yield Equity Rate </vt:lpstr>
      <vt:lpstr>Single Stage Div Growth Model</vt:lpstr>
      <vt:lpstr>Two-Stage Dividend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 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Dividend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Electric Wholesale</dc:title>
  <dc:creator>%USERNAME%</dc:creator>
  <cp:lastModifiedBy>Carbin, Robert A (DOR)</cp:lastModifiedBy>
  <cp:lastPrinted>2023-05-30T15:23:54Z</cp:lastPrinted>
  <dcterms:created xsi:type="dcterms:W3CDTF">2016-02-12T19:29:24Z</dcterms:created>
  <dcterms:modified xsi:type="dcterms:W3CDTF">2026-09-21T18:40:25Z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